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E:\PJM\Simulasi Penilaian Akreditasi\"/>
    </mc:Choice>
  </mc:AlternateContent>
  <bookViews>
    <workbookView xWindow="0" yWindow="0" windowWidth="20490" windowHeight="7650"/>
  </bookViews>
  <sheets>
    <sheet name="Total" sheetId="2" r:id="rId1"/>
    <sheet name="ED" sheetId="3" r:id="rId2"/>
    <sheet name="Prodi" sheetId="4" r:id="rId3"/>
    <sheet name="Simulasi Prodi" sheetId="6" r:id="rId4"/>
    <sheet name="Pengelola" sheetId="5" r:id="rId5"/>
    <sheet name="Simulasi Pengelola" sheetId="7" r:id="rId6"/>
  </sheets>
  <definedNames>
    <definedName name="_Toc17095588" localSheetId="3">'Simulasi Prodi'!$B$42</definedName>
    <definedName name="_Toc206868236" localSheetId="1">ED!$A$1</definedName>
  </definedNames>
  <calcPr calcId="162913"/>
</workbook>
</file>

<file path=xl/calcChain.xml><?xml version="1.0" encoding="utf-8"?>
<calcChain xmlns="http://schemas.openxmlformats.org/spreadsheetml/2006/main">
  <c r="H212" i="6" l="1"/>
  <c r="H214" i="6"/>
  <c r="H201" i="6"/>
  <c r="H211" i="6"/>
  <c r="H210" i="6"/>
  <c r="H209" i="6"/>
  <c r="H206" i="6"/>
  <c r="H208" i="6" s="1"/>
  <c r="H129" i="6"/>
  <c r="H249" i="6" l="1"/>
  <c r="H244" i="6" s="1"/>
  <c r="H164" i="6"/>
  <c r="H158" i="6"/>
  <c r="H155" i="6" s="1"/>
  <c r="H154" i="6"/>
  <c r="H151" i="6" s="1"/>
  <c r="H67" i="6" l="1"/>
  <c r="H62" i="6" s="1"/>
  <c r="H111" i="6" l="1"/>
  <c r="H108" i="6" s="1"/>
  <c r="H107" i="6"/>
  <c r="H104" i="6" s="1"/>
  <c r="H102" i="6"/>
  <c r="H100" i="6" s="1"/>
  <c r="H89" i="6" l="1"/>
  <c r="H87" i="6" s="1"/>
  <c r="H86" i="6"/>
  <c r="H83" i="6" s="1"/>
  <c r="H36" i="6" l="1"/>
  <c r="H19" i="6" l="1"/>
  <c r="F28" i="3" l="1"/>
  <c r="A4" i="2" s="1"/>
  <c r="F19" i="3"/>
  <c r="F17" i="3"/>
  <c r="F16" i="3"/>
  <c r="F14" i="3"/>
  <c r="F13" i="3"/>
  <c r="F12" i="3"/>
  <c r="F10" i="3"/>
  <c r="F8" i="3"/>
  <c r="F7" i="3"/>
  <c r="F49" i="5"/>
  <c r="F48" i="5"/>
  <c r="E221" i="7"/>
  <c r="E213" i="7"/>
  <c r="E205" i="7"/>
  <c r="F47" i="5" s="1"/>
  <c r="E196" i="7"/>
  <c r="E197" i="7" s="1"/>
  <c r="F46" i="5" s="1"/>
  <c r="E189" i="7"/>
  <c r="E190" i="7" s="1"/>
  <c r="F45" i="5" s="1"/>
  <c r="E183" i="7"/>
  <c r="F44" i="5" s="1"/>
  <c r="E174" i="7"/>
  <c r="E175" i="7" s="1"/>
  <c r="F43" i="5" s="1"/>
  <c r="E168" i="7"/>
  <c r="E169" i="7" s="1"/>
  <c r="F42" i="5" s="1"/>
  <c r="E163" i="7"/>
  <c r="F41" i="5" s="1"/>
  <c r="E160" i="7"/>
  <c r="F40" i="5" s="1"/>
  <c r="F155" i="7"/>
  <c r="E155" i="7"/>
  <c r="E156" i="7" s="1"/>
  <c r="F39" i="5" s="1"/>
  <c r="E148" i="7"/>
  <c r="F38" i="5" s="1"/>
  <c r="E145" i="7"/>
  <c r="F37" i="5" s="1"/>
  <c r="E142" i="7"/>
  <c r="F36" i="5" s="1"/>
  <c r="E136" i="7"/>
  <c r="E139" i="7" s="1"/>
  <c r="F35" i="5" s="1"/>
  <c r="E133" i="7"/>
  <c r="F33" i="5" s="1"/>
  <c r="E130" i="7"/>
  <c r="F32" i="5" s="1"/>
  <c r="E124" i="7"/>
  <c r="E127" i="7" s="1"/>
  <c r="F31" i="5" s="1"/>
  <c r="E121" i="7"/>
  <c r="F29" i="5" s="1"/>
  <c r="E117" i="7"/>
  <c r="F28" i="5" s="1"/>
  <c r="E113" i="7"/>
  <c r="F27" i="5" s="1"/>
  <c r="E108" i="7"/>
  <c r="E109" i="7" s="1"/>
  <c r="F26" i="5" s="1"/>
  <c r="E102" i="7"/>
  <c r="E103" i="7" s="1"/>
  <c r="F25" i="5" s="1"/>
  <c r="E95" i="7"/>
  <c r="F24" i="5" s="1"/>
  <c r="E92" i="7"/>
  <c r="F23" i="5" s="1"/>
  <c r="E89" i="7"/>
  <c r="F22" i="5" s="1"/>
  <c r="E82" i="7"/>
  <c r="E77" i="7"/>
  <c r="E78" i="7" s="1"/>
  <c r="E86" i="7" s="1"/>
  <c r="F21" i="5" s="1"/>
  <c r="E71" i="7"/>
  <c r="F19" i="5" s="1"/>
  <c r="F70" i="7"/>
  <c r="E67" i="7"/>
  <c r="F18" i="5" s="1"/>
  <c r="E63" i="7"/>
  <c r="E64" i="7" s="1"/>
  <c r="F17" i="5" s="1"/>
  <c r="E57" i="7"/>
  <c r="E58" i="7" s="1"/>
  <c r="F16" i="5" s="1"/>
  <c r="E52" i="7"/>
  <c r="F15" i="5" s="1"/>
  <c r="E48" i="7"/>
  <c r="E49" i="7" s="1"/>
  <c r="F14" i="5" s="1"/>
  <c r="E43" i="7"/>
  <c r="F13" i="5" s="1"/>
  <c r="E40" i="7"/>
  <c r="F12" i="5" s="1"/>
  <c r="E37" i="7"/>
  <c r="F11" i="5" s="1"/>
  <c r="E34" i="7"/>
  <c r="F10" i="5" s="1"/>
  <c r="E31" i="7"/>
  <c r="F9" i="5" s="1"/>
  <c r="E28" i="7"/>
  <c r="F8" i="5" s="1"/>
  <c r="E25" i="7"/>
  <c r="F7" i="5" s="1"/>
  <c r="E22" i="7"/>
  <c r="F6" i="5" s="1"/>
  <c r="E14" i="7"/>
  <c r="E15" i="7" s="1"/>
  <c r="F5" i="5" s="1"/>
  <c r="E8" i="7"/>
  <c r="E9" i="7" s="1"/>
  <c r="F4" i="5" s="1"/>
  <c r="F34" i="5" l="1"/>
  <c r="F30" i="5"/>
  <c r="E83" i="7"/>
  <c r="F20" i="5" s="1"/>
  <c r="H30" i="6"/>
  <c r="F105" i="4"/>
  <c r="F106" i="4"/>
  <c r="F104" i="4"/>
  <c r="F102" i="4"/>
  <c r="F97" i="4"/>
  <c r="F98" i="4"/>
  <c r="F96" i="4"/>
  <c r="F89" i="4"/>
  <c r="F88" i="4"/>
  <c r="F76" i="4"/>
  <c r="F77" i="4"/>
  <c r="F78" i="4"/>
  <c r="F79" i="4"/>
  <c r="F80" i="4"/>
  <c r="F81" i="4"/>
  <c r="F82" i="4"/>
  <c r="F75" i="4"/>
  <c r="F69" i="4"/>
  <c r="F70" i="4"/>
  <c r="F71" i="4"/>
  <c r="F68" i="4"/>
  <c r="F65" i="4"/>
  <c r="F64" i="4"/>
  <c r="F60" i="4"/>
  <c r="F54" i="4"/>
  <c r="F55" i="4"/>
  <c r="F56" i="4"/>
  <c r="F53" i="4"/>
  <c r="F51" i="4"/>
  <c r="F48" i="4"/>
  <c r="F43" i="4"/>
  <c r="F40" i="4"/>
  <c r="F32" i="4"/>
  <c r="F33" i="4"/>
  <c r="F31" i="4"/>
  <c r="F26" i="4"/>
  <c r="F23" i="4"/>
  <c r="F22" i="4"/>
  <c r="F17" i="4"/>
  <c r="F6" i="4"/>
  <c r="F7" i="4"/>
  <c r="F8" i="4"/>
  <c r="F9" i="4"/>
  <c r="F10" i="4"/>
  <c r="F11" i="4"/>
  <c r="F12" i="4"/>
  <c r="F5" i="4"/>
  <c r="G5" i="4" s="1"/>
  <c r="F4" i="4"/>
  <c r="H267" i="6"/>
  <c r="H268" i="6" s="1"/>
  <c r="H260" i="6"/>
  <c r="H261" i="6" s="1"/>
  <c r="H254" i="6"/>
  <c r="H255" i="6" s="1"/>
  <c r="H239" i="6"/>
  <c r="F95" i="4" s="1"/>
  <c r="F99" i="4"/>
  <c r="H237" i="6"/>
  <c r="F94" i="4" s="1"/>
  <c r="H235" i="6"/>
  <c r="F93" i="4" s="1"/>
  <c r="H233" i="6"/>
  <c r="F92" i="4" s="1"/>
  <c r="H231" i="6"/>
  <c r="F91" i="4" s="1"/>
  <c r="F84" i="4"/>
  <c r="H223" i="6"/>
  <c r="H218" i="6" s="1"/>
  <c r="F87" i="4" s="1"/>
  <c r="H217" i="6"/>
  <c r="H215" i="6" s="1"/>
  <c r="F86" i="4" s="1"/>
  <c r="F85" i="4"/>
  <c r="H200" i="6"/>
  <c r="H197" i="6" s="1"/>
  <c r="F83" i="4" s="1"/>
  <c r="E107" i="4"/>
  <c r="H183" i="6"/>
  <c r="F73" i="4" s="1"/>
  <c r="H188" i="6"/>
  <c r="H185" i="6" s="1"/>
  <c r="F74" i="4" s="1"/>
  <c r="H250" i="6" l="1"/>
  <c r="F100" i="4" s="1"/>
  <c r="H256" i="6"/>
  <c r="F101" i="4" s="1"/>
  <c r="H263" i="6"/>
  <c r="F103" i="4" s="1"/>
  <c r="H181" i="6"/>
  <c r="F72" i="4" s="1"/>
  <c r="H175" i="6"/>
  <c r="F67" i="4" s="1"/>
  <c r="H173" i="6"/>
  <c r="F66" i="4" s="1"/>
  <c r="H169" i="6"/>
  <c r="F63" i="4" s="1"/>
  <c r="F59" i="4"/>
  <c r="H167" i="6"/>
  <c r="H166" i="6"/>
  <c r="H229" i="6" s="1"/>
  <c r="H228" i="6" s="1"/>
  <c r="F90" i="4" s="1"/>
  <c r="H147" i="6"/>
  <c r="F57" i="4" s="1"/>
  <c r="H160" i="6"/>
  <c r="F61" i="4" s="1"/>
  <c r="F58" i="4"/>
  <c r="H142" i="6"/>
  <c r="H137" i="6" s="1"/>
  <c r="F52" i="4" s="1"/>
  <c r="H135" i="6"/>
  <c r="H131" i="6" s="1"/>
  <c r="F50" i="4" s="1"/>
  <c r="H117" i="6"/>
  <c r="F45" i="4" s="1"/>
  <c r="H126" i="6"/>
  <c r="H122" i="6"/>
  <c r="H119" i="6" s="1"/>
  <c r="F46" i="4" s="1"/>
  <c r="H116" i="6"/>
  <c r="H113" i="6" s="1"/>
  <c r="F44" i="4" s="1"/>
  <c r="F42" i="4"/>
  <c r="F41" i="4"/>
  <c r="F39" i="4"/>
  <c r="H99" i="6"/>
  <c r="H96" i="6"/>
  <c r="H97" i="6" s="1"/>
  <c r="F38" i="4" s="1"/>
  <c r="H93" i="6"/>
  <c r="F35" i="4"/>
  <c r="F34" i="4"/>
  <c r="H20" i="6"/>
  <c r="F15" i="4" s="1"/>
  <c r="H54" i="6"/>
  <c r="H48" i="6" s="1"/>
  <c r="F21" i="4" s="1"/>
  <c r="H94" i="6" l="1"/>
  <c r="F37" i="4" s="1"/>
  <c r="H90" i="6"/>
  <c r="F36" i="4" s="1"/>
  <c r="H127" i="6"/>
  <c r="H123" i="6" s="1"/>
  <c r="F47" i="4" s="1"/>
  <c r="H165" i="6"/>
  <c r="F62" i="4" s="1"/>
  <c r="H75" i="6"/>
  <c r="F30" i="4" s="1"/>
  <c r="H57" i="6"/>
  <c r="F24" i="4" s="1"/>
  <c r="H73" i="6"/>
  <c r="F29" i="4" s="1"/>
  <c r="H71" i="6"/>
  <c r="F28" i="4" s="1"/>
  <c r="H69" i="6"/>
  <c r="F27" i="4" s="1"/>
  <c r="H42" i="6"/>
  <c r="F20" i="4" s="1"/>
  <c r="H16" i="6"/>
  <c r="F14" i="4" s="1"/>
  <c r="H41" i="6"/>
  <c r="H37" i="6" s="1"/>
  <c r="F19" i="4" s="1"/>
  <c r="H32" i="6"/>
  <c r="F18" i="4" s="1"/>
  <c r="H24" i="6"/>
  <c r="F16" i="4" s="1"/>
  <c r="H23" i="6"/>
  <c r="H15" i="6"/>
  <c r="H12" i="6"/>
  <c r="F13" i="4" s="1"/>
  <c r="G4" i="4"/>
  <c r="F49" i="4" l="1"/>
  <c r="G49" i="4" s="1"/>
  <c r="F25" i="4"/>
  <c r="G25" i="4" s="1"/>
  <c r="G106" i="4"/>
  <c r="G105" i="4"/>
  <c r="G104" i="4"/>
  <c r="G103" i="4"/>
  <c r="G102" i="4"/>
  <c r="G101" i="4"/>
  <c r="G100" i="4"/>
  <c r="G99" i="4"/>
  <c r="G98" i="4"/>
  <c r="G97" i="4"/>
  <c r="G96" i="4"/>
  <c r="G95" i="4"/>
  <c r="G94" i="4"/>
  <c r="G93" i="4"/>
  <c r="G92" i="4"/>
  <c r="G91" i="4"/>
  <c r="G90" i="4"/>
  <c r="G89" i="4"/>
  <c r="G88" i="4"/>
  <c r="G87" i="4"/>
  <c r="G86" i="4"/>
  <c r="G85" i="4"/>
  <c r="G84" i="4"/>
  <c r="G83" i="4"/>
  <c r="G82" i="4"/>
  <c r="G81" i="4"/>
  <c r="G80" i="4"/>
  <c r="G79" i="4"/>
  <c r="G78" i="4"/>
  <c r="G77" i="4"/>
  <c r="G76" i="4"/>
  <c r="G75" i="4"/>
  <c r="G74" i="4"/>
  <c r="G73" i="4"/>
  <c r="G72" i="4"/>
  <c r="G71" i="4"/>
  <c r="G70" i="4"/>
  <c r="G69" i="4"/>
  <c r="G68" i="4"/>
  <c r="G67" i="4"/>
  <c r="G66" i="4"/>
  <c r="G65" i="4"/>
  <c r="G64" i="4"/>
  <c r="G63" i="4"/>
  <c r="G62" i="4"/>
  <c r="G61" i="4"/>
  <c r="G60" i="4"/>
  <c r="G59" i="4"/>
  <c r="G58" i="4"/>
  <c r="G57" i="4"/>
  <c r="G56" i="4"/>
  <c r="G55" i="4"/>
  <c r="G54" i="4"/>
  <c r="G53" i="4"/>
  <c r="G52" i="4"/>
  <c r="G51" i="4"/>
  <c r="G50" i="4"/>
  <c r="G48" i="4"/>
  <c r="G47" i="4"/>
  <c r="G46" i="4"/>
  <c r="G45" i="4"/>
  <c r="G44" i="4"/>
  <c r="G43" i="4"/>
  <c r="G42" i="4"/>
  <c r="G41" i="4"/>
  <c r="G40" i="4"/>
  <c r="G39" i="4"/>
  <c r="G38" i="4"/>
  <c r="G37" i="4"/>
  <c r="G36" i="4"/>
  <c r="G35" i="4"/>
  <c r="G34" i="4"/>
  <c r="G33" i="4"/>
  <c r="G32" i="4"/>
  <c r="G31" i="4"/>
  <c r="G30" i="4"/>
  <c r="G29" i="4"/>
  <c r="G28" i="4"/>
  <c r="G27" i="4"/>
  <c r="G26" i="4"/>
  <c r="G24" i="4"/>
  <c r="G23" i="4"/>
  <c r="G22" i="4"/>
  <c r="G21" i="4"/>
  <c r="G20" i="4"/>
  <c r="G19" i="4"/>
  <c r="G18" i="4"/>
  <c r="G17" i="4"/>
  <c r="G16" i="4"/>
  <c r="G15" i="4"/>
  <c r="G14" i="4"/>
  <c r="G13" i="4"/>
  <c r="G12" i="4"/>
  <c r="G11" i="4"/>
  <c r="G10" i="4"/>
  <c r="G9" i="4"/>
  <c r="G8" i="4"/>
  <c r="G7" i="4"/>
  <c r="G6" i="4"/>
  <c r="G107" i="4" l="1"/>
  <c r="B4" i="2" s="1"/>
  <c r="E50" i="5" l="1"/>
  <c r="G49" i="5"/>
  <c r="G48" i="5"/>
  <c r="G47" i="5"/>
  <c r="G46" i="5"/>
  <c r="G45" i="5"/>
  <c r="G44" i="5"/>
  <c r="G43" i="5"/>
  <c r="G42" i="5"/>
  <c r="G41" i="5"/>
  <c r="G40" i="5"/>
  <c r="G39" i="5"/>
  <c r="G38" i="5"/>
  <c r="G37" i="5"/>
  <c r="G36" i="5"/>
  <c r="G35" i="5"/>
  <c r="G34" i="5"/>
  <c r="G33" i="5"/>
  <c r="G32" i="5"/>
  <c r="G31" i="5"/>
  <c r="G30" i="5"/>
  <c r="G29" i="5"/>
  <c r="G28" i="5"/>
  <c r="G27" i="5"/>
  <c r="G26" i="5"/>
  <c r="G25" i="5"/>
  <c r="G24" i="5"/>
  <c r="G23" i="5"/>
  <c r="G22" i="5"/>
  <c r="G21" i="5"/>
  <c r="G20" i="5"/>
  <c r="G19" i="5"/>
  <c r="G18" i="5"/>
  <c r="G17" i="5"/>
  <c r="G16" i="5"/>
  <c r="G15" i="5"/>
  <c r="G14" i="5"/>
  <c r="G13" i="5"/>
  <c r="G12" i="5"/>
  <c r="G11" i="5"/>
  <c r="G10" i="5"/>
  <c r="G9" i="5"/>
  <c r="G8" i="5"/>
  <c r="G7" i="5"/>
  <c r="G6" i="5"/>
  <c r="G5" i="5"/>
  <c r="G4" i="5"/>
  <c r="G50" i="5" l="1"/>
  <c r="C4" i="2" s="1"/>
  <c r="D4" i="2" s="1"/>
</calcChain>
</file>

<file path=xl/comments1.xml><?xml version="1.0" encoding="utf-8"?>
<comments xmlns="http://schemas.openxmlformats.org/spreadsheetml/2006/main">
  <authors>
    <author>Wiediartini</author>
    <author>Wimboro Galasakti Prabowo</author>
  </authors>
  <commentList>
    <comment ref="H35" authorId="0" shapeId="0">
      <text>
        <r>
          <rPr>
            <b/>
            <sz val="9"/>
            <color indexed="81"/>
            <rFont val="Tahoma"/>
            <charset val="1"/>
          </rPr>
          <t>PJM :</t>
        </r>
        <r>
          <rPr>
            <sz val="9"/>
            <color indexed="81"/>
            <rFont val="Tahoma"/>
            <charset val="1"/>
          </rPr>
          <t xml:space="preserve">
Pilih </t>
        </r>
      </text>
    </comment>
    <comment ref="H49" authorId="1" shapeId="0">
      <text>
        <r>
          <rPr>
            <b/>
            <sz val="9"/>
            <color indexed="81"/>
            <rFont val="Tahoma"/>
            <family val="2"/>
          </rPr>
          <t>PJM:</t>
        </r>
        <r>
          <rPr>
            <sz val="9"/>
            <color indexed="81"/>
            <rFont val="Tahoma"/>
            <family val="2"/>
          </rPr>
          <t xml:space="preserve">
Untuk setiap jenis pelayanan, pemberian skor sebagai berikut:
4 : sangat baik
3 : baik
2: cukup
1: kurang
0: sangat kurang</t>
        </r>
      </text>
    </comment>
    <comment ref="H55" authorId="1" shapeId="0">
      <text>
        <r>
          <rPr>
            <b/>
            <sz val="9"/>
            <color indexed="81"/>
            <rFont val="Tahoma"/>
            <family val="2"/>
          </rPr>
          <t>PJM :
Pemberian Nilai</t>
        </r>
        <r>
          <rPr>
            <sz val="9"/>
            <color indexed="81"/>
            <rFont val="Tahoma"/>
            <family val="2"/>
          </rPr>
          <t xml:space="preserve">
4 : Kelima jenis upaya dilakukan dengan baik.
3 : Empat jenis upaya dilakukan dengan baik.
2 : Dua atau tiga jenis upaya dilakukan dengan baik.
1 : Hanya satu upaya yang dilakukan dengan baik.
0 : Tidak ada upaya.</t>
        </r>
      </text>
    </comment>
    <comment ref="H70" authorId="1" shapeId="0">
      <text>
        <r>
          <rPr>
            <b/>
            <sz val="9"/>
            <color indexed="81"/>
            <rFont val="Tahoma"/>
            <family val="2"/>
          </rPr>
          <t>PJM :</t>
        </r>
        <r>
          <rPr>
            <sz val="9"/>
            <color indexed="81"/>
            <rFont val="Tahoma"/>
            <family val="2"/>
          </rPr>
          <t xml:space="preserve">
Isi dengan satuan Bulan</t>
        </r>
      </text>
    </comment>
    <comment ref="H72" authorId="1" shapeId="0">
      <text>
        <r>
          <rPr>
            <b/>
            <sz val="9"/>
            <color indexed="81"/>
            <rFont val="Tahoma"/>
            <family val="2"/>
          </rPr>
          <t>PJM :</t>
        </r>
        <r>
          <rPr>
            <sz val="9"/>
            <color indexed="81"/>
            <rFont val="Tahoma"/>
            <family val="2"/>
          </rPr>
          <t xml:space="preserve">
persentase kesesuaian bidang kerja dengan bidang studi (keahlian) lulusan (%)</t>
        </r>
      </text>
    </comment>
    <comment ref="H74" authorId="1" shapeId="0">
      <text>
        <r>
          <rPr>
            <b/>
            <sz val="9"/>
            <color indexed="81"/>
            <rFont val="Tahoma"/>
            <family val="2"/>
          </rPr>
          <t>PJM :</t>
        </r>
        <r>
          <rPr>
            <sz val="9"/>
            <color indexed="81"/>
            <rFont val="Tahoma"/>
            <family val="2"/>
          </rPr>
          <t xml:space="preserve">
Isi dengan satuan (%)</t>
        </r>
      </text>
    </comment>
    <comment ref="H103" authorId="1" shapeId="0">
      <text>
        <r>
          <rPr>
            <b/>
            <sz val="9"/>
            <color indexed="81"/>
            <rFont val="Tahoma"/>
            <family val="2"/>
          </rPr>
          <t>PJM :</t>
        </r>
        <r>
          <rPr>
            <sz val="9"/>
            <color indexed="81"/>
            <rFont val="Tahoma"/>
            <family val="2"/>
          </rPr>
          <t xml:space="preserve">
4: Semua mata kuliah diajar oleh dosen yang sesuai keahliannya
3: 1 – 3 mata kuliah diajar oleh dosen yang tidak sesuai keahliannya.
2: 4 –7 mata kuliah diajar oleh dosen yang tidak sesuai keahliannya.
1: 8 - 11 mata kuliah diajar oleh dosen yang tidak sesuai keahliannya.
0: Lebih dari 11 mata kuliah diajar oleh dosen yang tidak sesuai keahliannya </t>
        </r>
      </text>
    </comment>
    <comment ref="H112" authorId="1" shapeId="0">
      <text>
        <r>
          <rPr>
            <b/>
            <sz val="9"/>
            <color indexed="81"/>
            <rFont val="Tahoma"/>
            <family val="2"/>
          </rPr>
          <t>PJM :</t>
        </r>
        <r>
          <rPr>
            <sz val="9"/>
            <color indexed="81"/>
            <rFont val="Tahoma"/>
            <family val="2"/>
          </rPr>
          <t xml:space="preserve">
4: Semua dosen tidak tetap mengampu mata kuliah yang sesuai keahliannya, Atau jika seluruh dosen yang bertugas di PS adalah dosen tetap.
3: 1 – 2 mata kuliah diampu oleh dosen tidak tetap yang tidak sesuai keahliannya.
2: 3-4 mata kuliah diampu oleh dosen tidak tetap yang tidak sesuai keahliannya.
1: 5-6 mata kuliah diampu oleh dosen tidak tetap yang tidak sesuai keahliannya.
0: Lebih dari 6 mata kuliah diampu oleh dosen tidak tetap yang tidak sesuai keahliannya
 </t>
        </r>
      </text>
    </comment>
    <comment ref="H161" authorId="1" shapeId="0">
      <text>
        <r>
          <rPr>
            <b/>
            <sz val="9"/>
            <color indexed="81"/>
            <rFont val="Tahoma"/>
            <family val="2"/>
          </rPr>
          <t>PJM :</t>
        </r>
        <r>
          <rPr>
            <sz val="9"/>
            <color indexed="81"/>
            <rFont val="Tahoma"/>
            <family val="2"/>
          </rPr>
          <t xml:space="preserve">
penghitungan skor untuk setiap butir  sebagai berikut:
1: Tidak ada monitoring
2: Ada monitoring tetapi tidak ada evaluasi
3: Ada monitoring, evaluasi tidak kontinu
4: Ada monitoring  dan evaluasi secara kontinu
</t>
        </r>
      </text>
    </comment>
  </commentList>
</comments>
</file>

<file path=xl/comments2.xml><?xml version="1.0" encoding="utf-8"?>
<comments xmlns="http://schemas.openxmlformats.org/spreadsheetml/2006/main">
  <authors>
    <author>Samuel</author>
    <author>Wiediartini</author>
  </authors>
  <commentList>
    <comment ref="E5" authorId="0" shapeId="0">
      <text>
        <r>
          <rPr>
            <b/>
            <sz val="10"/>
            <color indexed="81"/>
            <rFont val="Arial"/>
            <family val="2"/>
          </rPr>
          <t xml:space="preserve">PETUNJUK
</t>
        </r>
        <r>
          <rPr>
            <sz val="10"/>
            <color indexed="81"/>
            <rFont val="Arial"/>
            <family val="2"/>
          </rPr>
          <t>Isi dengan bilangan desimal: 1 - 4
Contoh: 3</t>
        </r>
        <r>
          <rPr>
            <b/>
            <sz val="10"/>
            <color indexed="81"/>
            <rFont val="Arial"/>
            <family val="2"/>
          </rPr>
          <t>.</t>
        </r>
        <r>
          <rPr>
            <sz val="10"/>
            <color indexed="81"/>
            <rFont val="Arial"/>
            <family val="2"/>
          </rPr>
          <t>50 bukan 3</t>
        </r>
        <r>
          <rPr>
            <b/>
            <sz val="10"/>
            <color indexed="81"/>
            <rFont val="Arial"/>
            <family val="2"/>
          </rPr>
          <t>,</t>
        </r>
        <r>
          <rPr>
            <sz val="10"/>
            <color indexed="81"/>
            <rFont val="Arial"/>
            <family val="2"/>
          </rPr>
          <t>50</t>
        </r>
      </text>
    </comment>
    <comment ref="E17" authorId="1" shapeId="0">
      <text>
        <r>
          <rPr>
            <b/>
            <sz val="9"/>
            <color indexed="81"/>
            <rFont val="Tahoma"/>
            <charset val="1"/>
          </rPr>
          <t xml:space="preserve">PETUNJUK
</t>
        </r>
        <r>
          <rPr>
            <sz val="9"/>
            <color indexed="81"/>
            <rFont val="Tahoma"/>
            <family val="2"/>
          </rPr>
          <t>Isi dengan bilangan desimal: 1 - 4
Contoh: 3.50 bukan 3,50</t>
        </r>
      </text>
    </comment>
    <comment ref="E24" authorId="0" shapeId="0">
      <text>
        <r>
          <rPr>
            <b/>
            <sz val="10"/>
            <color indexed="81"/>
            <rFont val="Tahoma"/>
            <family val="2"/>
          </rPr>
          <t xml:space="preserve">PETUNJUK
</t>
        </r>
        <r>
          <rPr>
            <sz val="10"/>
            <color indexed="81"/>
            <rFont val="Tahoma"/>
            <family val="2"/>
          </rPr>
          <t>Isi dengan bilangan desimal: 1 - 4</t>
        </r>
        <r>
          <rPr>
            <sz val="10"/>
            <color indexed="81"/>
            <rFont val="Tahoma"/>
            <family val="2"/>
          </rPr>
          <t xml:space="preserve">
</t>
        </r>
      </text>
    </comment>
    <comment ref="E27" authorId="0" shapeId="0">
      <text>
        <r>
          <rPr>
            <b/>
            <sz val="10"/>
            <color indexed="81"/>
            <rFont val="Tahoma"/>
            <family val="2"/>
          </rPr>
          <t xml:space="preserve">PETUNJUK
</t>
        </r>
        <r>
          <rPr>
            <sz val="10"/>
            <color indexed="81"/>
            <rFont val="Tahoma"/>
            <family val="2"/>
          </rPr>
          <t>Isi dengan bilangan desimal: 1 - 4</t>
        </r>
        <r>
          <rPr>
            <sz val="10"/>
            <color indexed="81"/>
            <rFont val="Tahoma"/>
            <family val="2"/>
          </rPr>
          <t xml:space="preserve">
</t>
        </r>
      </text>
    </comment>
    <comment ref="E123" authorId="0" shapeId="0">
      <text>
        <r>
          <rPr>
            <b/>
            <sz val="10"/>
            <color indexed="81"/>
            <rFont val="Tahoma"/>
            <family val="2"/>
          </rPr>
          <t xml:space="preserve">PETUNJUK
</t>
        </r>
        <r>
          <rPr>
            <sz val="10"/>
            <color indexed="81"/>
            <rFont val="Tahoma"/>
            <family val="2"/>
          </rPr>
          <t xml:space="preserve">Isi dengan bilangan desimal: 1 - 4
</t>
        </r>
      </text>
    </comment>
    <comment ref="E126" authorId="0" shapeId="0">
      <text>
        <r>
          <rPr>
            <b/>
            <sz val="10"/>
            <color indexed="81"/>
            <rFont val="Tahoma"/>
            <family val="2"/>
          </rPr>
          <t xml:space="preserve">PETUNJUK
</t>
        </r>
        <r>
          <rPr>
            <sz val="10"/>
            <color indexed="81"/>
            <rFont val="Tahoma"/>
            <family val="2"/>
          </rPr>
          <t xml:space="preserve">Isi dengan bilangan desimal: 0 - 4
</t>
        </r>
      </text>
    </comment>
    <comment ref="E129" authorId="0" shapeId="0">
      <text>
        <r>
          <rPr>
            <b/>
            <sz val="10"/>
            <color indexed="81"/>
            <rFont val="Tahoma"/>
            <family val="2"/>
          </rPr>
          <t xml:space="preserve">PETUNJUK
</t>
        </r>
        <r>
          <rPr>
            <sz val="10"/>
            <color indexed="81"/>
            <rFont val="Tahoma"/>
            <family val="2"/>
          </rPr>
          <t xml:space="preserve">Isi dengan bilangan desimal: 0 - 4
</t>
        </r>
      </text>
    </comment>
    <comment ref="E132" authorId="0" shapeId="0">
      <text>
        <r>
          <rPr>
            <b/>
            <sz val="10"/>
            <color indexed="81"/>
            <rFont val="Tahoma"/>
            <family val="2"/>
          </rPr>
          <t xml:space="preserve">PETUNJUK
</t>
        </r>
        <r>
          <rPr>
            <sz val="10"/>
            <color indexed="81"/>
            <rFont val="Tahoma"/>
            <family val="2"/>
          </rPr>
          <t xml:space="preserve">Isi dengan bilangan desimal: 0 - 4
</t>
        </r>
      </text>
    </comment>
    <comment ref="E135" authorId="0" shapeId="0">
      <text>
        <r>
          <rPr>
            <b/>
            <sz val="10"/>
            <color indexed="81"/>
            <rFont val="Tahoma"/>
            <family val="2"/>
          </rPr>
          <t xml:space="preserve">PETUNJUK
</t>
        </r>
        <r>
          <rPr>
            <sz val="10"/>
            <color indexed="81"/>
            <rFont val="Tahoma"/>
            <family val="2"/>
          </rPr>
          <t xml:space="preserve">Isi dengan bilangan desimal: 1 - 4
</t>
        </r>
      </text>
    </comment>
    <comment ref="E138" authorId="0" shapeId="0">
      <text>
        <r>
          <rPr>
            <b/>
            <sz val="10"/>
            <color indexed="81"/>
            <rFont val="Tahoma"/>
            <family val="2"/>
          </rPr>
          <t xml:space="preserve">PETUNJUK
</t>
        </r>
        <r>
          <rPr>
            <sz val="10"/>
            <color indexed="81"/>
            <rFont val="Tahoma"/>
            <family val="2"/>
          </rPr>
          <t>Isi dengan bilangan desimal: 0 - 4</t>
        </r>
      </text>
    </comment>
    <comment ref="E141" authorId="0" shapeId="0">
      <text>
        <r>
          <rPr>
            <b/>
            <sz val="10"/>
            <color indexed="81"/>
            <rFont val="Tahoma"/>
            <family val="2"/>
          </rPr>
          <t xml:space="preserve">PETUNJUK
</t>
        </r>
        <r>
          <rPr>
            <sz val="10"/>
            <color indexed="81"/>
            <rFont val="Tahoma"/>
            <family val="2"/>
          </rPr>
          <t xml:space="preserve">Isi dengan bilangan desimal: 0 - 4
</t>
        </r>
      </text>
    </comment>
    <comment ref="E144" authorId="0" shapeId="0">
      <text>
        <r>
          <rPr>
            <b/>
            <sz val="10"/>
            <color indexed="81"/>
            <rFont val="Tahoma"/>
            <family val="2"/>
          </rPr>
          <t xml:space="preserve">PETUNJUK
</t>
        </r>
        <r>
          <rPr>
            <sz val="10"/>
            <color indexed="81"/>
            <rFont val="Tahoma"/>
            <family val="2"/>
          </rPr>
          <t xml:space="preserve">Isi dengan bilangan desimal: 1 - 4
</t>
        </r>
      </text>
    </comment>
    <comment ref="E147" authorId="0" shapeId="0">
      <text>
        <r>
          <rPr>
            <b/>
            <sz val="10"/>
            <color indexed="81"/>
            <rFont val="Tahoma"/>
            <family val="2"/>
          </rPr>
          <t xml:space="preserve">PETUNJUK
</t>
        </r>
        <r>
          <rPr>
            <sz val="10"/>
            <color indexed="81"/>
            <rFont val="Tahoma"/>
            <family val="2"/>
          </rPr>
          <t xml:space="preserve">Isi dengan bilangan desimal: 0 - 4
</t>
        </r>
      </text>
    </comment>
    <comment ref="E159" authorId="0" shapeId="0">
      <text>
        <r>
          <rPr>
            <b/>
            <sz val="10"/>
            <color indexed="81"/>
            <rFont val="Tahoma"/>
            <family val="2"/>
          </rPr>
          <t xml:space="preserve">PETUNJUK
</t>
        </r>
        <r>
          <rPr>
            <sz val="10"/>
            <color indexed="81"/>
            <rFont val="Tahoma"/>
            <family val="2"/>
          </rPr>
          <t xml:space="preserve">Isi dengan bilangan desimal: 1 - 4
</t>
        </r>
      </text>
    </comment>
    <comment ref="E162" authorId="0" shapeId="0">
      <text>
        <r>
          <rPr>
            <b/>
            <sz val="10"/>
            <color indexed="81"/>
            <rFont val="Tahoma"/>
            <family val="2"/>
          </rPr>
          <t xml:space="preserve">PETUNJUK
</t>
        </r>
        <r>
          <rPr>
            <sz val="10"/>
            <color indexed="81"/>
            <rFont val="Tahoma"/>
            <family val="2"/>
          </rPr>
          <t xml:space="preserve">Isi dengan bilangan desimal: 0 - 4
</t>
        </r>
      </text>
    </comment>
    <comment ref="E177" authorId="0" shapeId="0">
      <text>
        <r>
          <rPr>
            <b/>
            <sz val="10"/>
            <color indexed="81"/>
            <rFont val="Tahoma"/>
            <family val="2"/>
          </rPr>
          <t xml:space="preserve">PETUNJUK
</t>
        </r>
        <r>
          <rPr>
            <sz val="10"/>
            <color indexed="81"/>
            <rFont val="Tahoma"/>
            <family val="2"/>
          </rPr>
          <t xml:space="preserve">Isi dengan bilangan desimal: 0 - 4
</t>
        </r>
      </text>
    </comment>
    <comment ref="E199" authorId="0" shapeId="0">
      <text>
        <r>
          <rPr>
            <b/>
            <sz val="10"/>
            <color indexed="81"/>
            <rFont val="Tahoma"/>
            <family val="2"/>
          </rPr>
          <t xml:space="preserve">PETUNJUK
</t>
        </r>
        <r>
          <rPr>
            <sz val="10"/>
            <color indexed="81"/>
            <rFont val="Tahoma"/>
            <family val="2"/>
          </rPr>
          <t xml:space="preserve">Isi dengan bilangan desimal: 0 - 4
</t>
        </r>
      </text>
    </comment>
    <comment ref="E207" authorId="0" shapeId="0">
      <text>
        <r>
          <rPr>
            <b/>
            <sz val="10"/>
            <color indexed="81"/>
            <rFont val="Tahoma"/>
            <family val="2"/>
          </rPr>
          <t xml:space="preserve">PETUNJUK
</t>
        </r>
        <r>
          <rPr>
            <sz val="10"/>
            <color indexed="81"/>
            <rFont val="Tahoma"/>
            <family val="2"/>
          </rPr>
          <t xml:space="preserve">Isi dengan bilangan desimal: 0 - 4
</t>
        </r>
      </text>
    </comment>
    <comment ref="E215" authorId="0" shapeId="0">
      <text>
        <r>
          <rPr>
            <b/>
            <sz val="10"/>
            <color indexed="81"/>
            <rFont val="Tahoma"/>
            <family val="2"/>
          </rPr>
          <t xml:space="preserve">PETUNJUK
</t>
        </r>
        <r>
          <rPr>
            <sz val="10"/>
            <color indexed="81"/>
            <rFont val="Tahoma"/>
            <family val="2"/>
          </rPr>
          <t xml:space="preserve">Isi dengan bilangan desimal: 0 - 4
</t>
        </r>
      </text>
    </comment>
  </commentList>
</comments>
</file>

<file path=xl/sharedStrings.xml><?xml version="1.0" encoding="utf-8"?>
<sst xmlns="http://schemas.openxmlformats.org/spreadsheetml/2006/main" count="947" uniqueCount="741">
  <si>
    <r>
      <t>-</t>
    </r>
    <r>
      <rPr>
        <sz val="7"/>
        <color rgb="FF000000"/>
        <rFont val="Times New Roman"/>
        <family val="1"/>
      </rPr>
      <t xml:space="preserve">       </t>
    </r>
    <r>
      <rPr>
        <sz val="12"/>
        <color rgb="FF000000"/>
        <rFont val="Arial"/>
        <family val="2"/>
      </rPr>
      <t>A (Sangat Baik)</t>
    </r>
  </si>
  <si>
    <t>dengan nilai akreditasi 361 - 400</t>
  </si>
  <si>
    <r>
      <t>-</t>
    </r>
    <r>
      <rPr>
        <sz val="7"/>
        <color rgb="FF000000"/>
        <rFont val="Times New Roman"/>
        <family val="1"/>
      </rPr>
      <t xml:space="preserve">       </t>
    </r>
    <r>
      <rPr>
        <sz val="12"/>
        <color rgb="FF000000"/>
        <rFont val="Arial"/>
        <family val="2"/>
      </rPr>
      <t>B (Baik)</t>
    </r>
  </si>
  <si>
    <t>dengan nilai akreditasi 301 - 360</t>
  </si>
  <si>
    <r>
      <t>-</t>
    </r>
    <r>
      <rPr>
        <sz val="7"/>
        <color rgb="FF000000"/>
        <rFont val="Times New Roman"/>
        <family val="1"/>
      </rPr>
      <t xml:space="preserve">       </t>
    </r>
    <r>
      <rPr>
        <sz val="12"/>
        <color rgb="FF000000"/>
        <rFont val="Arial"/>
        <family val="2"/>
      </rPr>
      <t>C (Cukup)</t>
    </r>
  </si>
  <si>
    <t>dengan nilai akreditasi 200 - 300</t>
  </si>
  <si>
    <r>
      <t>-</t>
    </r>
    <r>
      <rPr>
        <sz val="7"/>
        <color rgb="FF000000"/>
        <rFont val="Times New Roman"/>
        <family val="1"/>
      </rPr>
      <t xml:space="preserve">       </t>
    </r>
    <r>
      <rPr>
        <sz val="12"/>
        <color rgb="FF000000"/>
        <rFont val="Arial"/>
        <family val="2"/>
      </rPr>
      <t>Tidak Terakreditasi dengan nilai akreditasi kurang dari 200</t>
    </r>
  </si>
  <si>
    <t>Evaluasi Diri</t>
  </si>
  <si>
    <t>Borang Prodi</t>
  </si>
  <si>
    <t>Borang pengelola</t>
  </si>
  <si>
    <t>FORMAT 1. PENILAIAN EVALUASI DIRI PROGRAM STUDI DIPLOMA</t>
  </si>
  <si>
    <t>No.</t>
  </si>
  <si>
    <t>Aspek Penilaian</t>
  </si>
  <si>
    <t>Bobot</t>
  </si>
  <si>
    <t>Penilaian*</t>
  </si>
  <si>
    <t xml:space="preserve">Informasi dari </t>
  </si>
  <si>
    <t>Laporan Evaluasi Diri</t>
  </si>
  <si>
    <t>Asr-1</t>
  </si>
  <si>
    <t>Asr-2</t>
  </si>
  <si>
    <t>Nilai Akhir</t>
  </si>
  <si>
    <t>Akurasi dan kelengkapan data serta informasi yang digunakan untuk menyusun laporan evaluasi-diri</t>
  </si>
  <si>
    <t>a</t>
  </si>
  <si>
    <r>
      <t xml:space="preserve">Cara  program studi mengemukakan fakta tentang situasi program studi, pada semua komponen evaluasi-diri, a.l. kelengkapan data, kurun waktu yang cukup, </t>
    </r>
    <r>
      <rPr>
        <i/>
        <sz val="12"/>
        <color theme="1"/>
        <rFont val="Arial Narrow"/>
        <family val="2"/>
      </rPr>
      <t>cross-reference</t>
    </r>
    <r>
      <rPr>
        <sz val="12"/>
        <color theme="1"/>
        <rFont val="Arial Narrow"/>
        <family val="2"/>
      </rPr>
      <t>.</t>
    </r>
  </si>
  <si>
    <t>12,5</t>
  </si>
  <si>
    <t>b</t>
  </si>
  <si>
    <t>Pengolahan data menjadi informasi yang bermanfaat, a.l. menggunakan metode-metode kuantitatif yang tepat, serta teknik representasi yang relevan.</t>
  </si>
  <si>
    <t>Kualitas analisis yang digunakan untuk mengidentifikasi dan merumuskan masalah pada semua komponen evaluasi-diri.</t>
  </si>
  <si>
    <t xml:space="preserve">Identifikasi dan perumusan masalah dilakukan dengan baik.  </t>
  </si>
  <si>
    <r>
      <t xml:space="preserve">Ketepatan dalam melakukan </t>
    </r>
    <r>
      <rPr>
        <i/>
        <sz val="12"/>
        <color theme="1"/>
        <rFont val="Arial Narrow"/>
        <family val="2"/>
      </rPr>
      <t>appraisal,</t>
    </r>
    <r>
      <rPr>
        <sz val="12"/>
        <color theme="1"/>
        <rFont val="Arial Narrow"/>
        <family val="2"/>
      </rPr>
      <t xml:space="preserve"> </t>
    </r>
    <r>
      <rPr>
        <i/>
        <sz val="12"/>
        <color theme="1"/>
        <rFont val="Arial Narrow"/>
        <family val="2"/>
      </rPr>
      <t>judgment</t>
    </r>
    <r>
      <rPr>
        <sz val="12"/>
        <color theme="1"/>
        <rFont val="Arial Narrow"/>
        <family val="2"/>
      </rPr>
      <t xml:space="preserve">, evaluasi, asesmen atas fakta tentang situasi di program studi. </t>
    </r>
  </si>
  <si>
    <t>c</t>
  </si>
  <si>
    <t>Permasalahan dan kelemahan yang ada dirumuskan dengan baik.</t>
  </si>
  <si>
    <t>d</t>
  </si>
  <si>
    <t>Deskripsi/Analisis SWOT berkenaan dengan ketepatan penempatan aspek dalam komponen SWOT, tumpuan penekanan analisis.</t>
  </si>
  <si>
    <t>Strategi pengembangan dan perbaikan program</t>
  </si>
  <si>
    <t xml:space="preserve">Ketepatan program studi memilih/ menentukan rencana perbaikan dari kekurangan yang ada. </t>
  </si>
  <si>
    <t xml:space="preserve">Kejelasan program studi menunjukkan cara untuk mengatasi masalah yang ada. </t>
  </si>
  <si>
    <t xml:space="preserve">Kelayakan dan kerealistikan strategi dan sasaran yang ingin dicapai. </t>
  </si>
  <si>
    <t>Keterpaduan dan keterkaitan antar komponen evaluasi-diri</t>
  </si>
  <si>
    <t>Komprehensif (dalam, luas dan terpadu).</t>
  </si>
  <si>
    <t>Kejelasan analisis intra dan antar komponen evaluasi-diri.</t>
  </si>
  <si>
    <t>Jumlah</t>
  </si>
  <si>
    <t>Catatan: *skor 1 - 4</t>
  </si>
  <si>
    <t>FORMAT 2. PENILAIAN BORANG PROGRAM STUDI DIPLOMA</t>
  </si>
  <si>
    <t>No. Urut</t>
  </si>
  <si>
    <t>No. Butir</t>
  </si>
  <si>
    <t>Elemen Penilaian</t>
  </si>
  <si>
    <t>Informasi dari Borang PS</t>
  </si>
  <si>
    <t>Bobot Butir</t>
  </si>
  <si>
    <t>Nilai</t>
  </si>
  <si>
    <t>1.1.1</t>
  </si>
  <si>
    <r>
      <t xml:space="preserve">Kejelasan,  kerealistikan, dan keterkaitan antar </t>
    </r>
    <r>
      <rPr>
        <sz val="10"/>
        <color theme="1"/>
        <rFont val="Arial"/>
        <family val="2"/>
      </rPr>
      <t>visi, misi, tujuan, dan sasaran program studi.</t>
    </r>
  </si>
  <si>
    <t>1.1.2</t>
  </si>
  <si>
    <t>Strategi pencapaian sasaran: kejelasan rentang waktu dan dukungan dokumen.</t>
  </si>
  <si>
    <t>Pemahaman pemangku kepentingan internal (sivitas akademika dan tenaga kependidikan) terhadap visi, misi, tujuan dan sasaran program studi.</t>
  </si>
  <si>
    <t>Jaminan tata pamong untuk mewujudkan visi, melaksanakan misi, mencapai tujuan dengan menggunakan strategi secara kredibel, transparan, akuntabel, bertanggung jawab dan adil.</t>
  </si>
  <si>
    <r>
      <t xml:space="preserve">Karakteristik kepemimpinan di program studi yang mencakup: </t>
    </r>
    <r>
      <rPr>
        <sz val="10"/>
        <color theme="1"/>
        <rFont val="Arial"/>
        <family val="2"/>
      </rPr>
      <t xml:space="preserve">Perencanaan, pengorganisasian, pengembangan staf, pengawasan, pengarahan, representasi, dan penganggaran </t>
    </r>
    <r>
      <rPr>
        <i/>
        <sz val="10"/>
        <color theme="1"/>
        <rFont val="Arial"/>
        <family val="2"/>
      </rPr>
      <t xml:space="preserve"> </t>
    </r>
    <r>
      <rPr>
        <sz val="10"/>
        <color theme="1"/>
        <rFont val="Arial"/>
        <family val="2"/>
      </rPr>
      <t>yang efektif dilaksanakan.</t>
    </r>
  </si>
  <si>
    <r>
      <t>Efektivitas s</t>
    </r>
    <r>
      <rPr>
        <sz val="10"/>
        <color theme="1"/>
        <rFont val="Arial"/>
        <family val="2"/>
      </rPr>
      <t xml:space="preserve">istem pengelolaan fungsional dan operasional program studi mencakup: </t>
    </r>
    <r>
      <rPr>
        <i/>
        <sz val="10"/>
        <color theme="1"/>
        <rFont val="Arial"/>
        <family val="2"/>
      </rPr>
      <t>planning, organizing</t>
    </r>
    <r>
      <rPr>
        <sz val="10"/>
        <color theme="1"/>
        <rFont val="Arial"/>
        <family val="2"/>
      </rPr>
      <t xml:space="preserve">, </t>
    </r>
    <r>
      <rPr>
        <i/>
        <sz val="10"/>
        <color theme="1"/>
        <rFont val="Arial"/>
        <family val="2"/>
      </rPr>
      <t>staffing, leading, controlling, internal and external operation.</t>
    </r>
  </si>
  <si>
    <t>Pelaksanaan penjaminan mutu program studi.</t>
  </si>
  <si>
    <t>Umpan balik  untuk peningkatan mutu proses pembelajaran.  Informasi mencakup: sumber umpan balik, keberlanjutan pelaksanaan, dan tindak lanjutnya.</t>
  </si>
  <si>
    <r>
      <t>Upaya-upaya yang telah dilakukan penyelenggara program studi untuk menjamin keberlanjutan (</t>
    </r>
    <r>
      <rPr>
        <i/>
        <sz val="10"/>
        <color theme="1"/>
        <rFont val="Arial"/>
        <family val="2"/>
      </rPr>
      <t>sustainability</t>
    </r>
    <r>
      <rPr>
        <sz val="10"/>
        <color theme="1"/>
        <rFont val="Arial"/>
        <family val="2"/>
      </rPr>
      <t>) program studi.</t>
    </r>
  </si>
  <si>
    <t>3.1.1.1</t>
  </si>
  <si>
    <t xml:space="preserve">Rasio calon mahasiswa yang ikut seleksi : daya tampung. </t>
  </si>
  <si>
    <t>3.1.1.2</t>
  </si>
  <si>
    <t>Rasio mahasiswa baru reguler yang melakukan registrasi : calon mahasiswa baru reguler yang lulus seleksi.</t>
  </si>
  <si>
    <t>3.1.1.3</t>
  </si>
  <si>
    <t xml:space="preserve">Rasio mahasiswa baru transfer terhadap mahasiswa baru regular. </t>
  </si>
  <si>
    <t>3.1.1.4</t>
  </si>
  <si>
    <t>Rata-rata Indeks Prestasi Kumulatif (IPK) selama lima tahun terakhir.</t>
  </si>
  <si>
    <t>3.1.2</t>
  </si>
  <si>
    <t>Penghargaan atas prestasi mahasiswa di bidang nalar, bakat dan minat.</t>
  </si>
  <si>
    <t>3.1.3.1</t>
  </si>
  <si>
    <t>Persentase kelulusan tepat waktu.</t>
  </si>
  <si>
    <t>3.1.3.2</t>
  </si>
  <si>
    <t xml:space="preserve">Persentase mahasiswa yang DO atau mengundurkan diri. </t>
  </si>
  <si>
    <t>3.2.1</t>
  </si>
  <si>
    <t xml:space="preserve">Jenis layanan yang disediakan kepada mahasiswa yang dapat dimanfaatkan untuk membina dan mengembangkan penalaran, minat, bakat, seni, dan kesejahteraan. </t>
  </si>
  <si>
    <t>3.2.2</t>
  </si>
  <si>
    <t xml:space="preserve">Mutu layanan yang disediakan kepada mahasiswa yang dapat dimanfaatkan untuk membina dan mengembangkan penalaran, minat, bakat, seni, dan kesejahteraan. </t>
  </si>
  <si>
    <t xml:space="preserve">Usaha-usaha program studi/jurusan mencarikan tempat kerja bagi lulusannya.  </t>
  </si>
  <si>
    <t>3.4.1.1</t>
  </si>
  <si>
    <t>Upaya pelacakan dan perekaman data lulusan.</t>
  </si>
  <si>
    <t>3.4.1.2</t>
  </si>
  <si>
    <t>Penggunaan hasil pelacakan untuk perbaikan: proses pembelajaran, penggalangan dana, informasi pekerjaan, dan membangun jejaring.</t>
  </si>
  <si>
    <t>3.4.1.3</t>
  </si>
  <si>
    <r>
      <t>Pendapat pengguna (</t>
    </r>
    <r>
      <rPr>
        <i/>
        <sz val="10"/>
        <color theme="1"/>
        <rFont val="Arial"/>
        <family val="2"/>
      </rPr>
      <t>employer</t>
    </r>
    <r>
      <rPr>
        <sz val="10"/>
        <color theme="1"/>
        <rFont val="Arial"/>
        <family val="2"/>
      </rPr>
      <t>) lulusan terhadap mutu alumni.</t>
    </r>
  </si>
  <si>
    <t>3.4.2</t>
  </si>
  <si>
    <t>Keahlian/kemampuan yang menunjukkan keunggulan lulusan program studi.</t>
  </si>
  <si>
    <t>3.4.3</t>
  </si>
  <si>
    <t>Masa tunggu lulusan untuk memperoleh pekerjaan yang pertama.</t>
  </si>
  <si>
    <t>3.4.4</t>
  </si>
  <si>
    <t>Kesesuaian bidang kerja lulusan dengan bidang studi.</t>
  </si>
  <si>
    <t>3.4.5</t>
  </si>
  <si>
    <t>Persentase lulusan yang dipesan dan diterima oleh lembaga (instansi/industri)</t>
  </si>
  <si>
    <t>Partisipasi alumni dalam mendukung pengembangan  program studi.</t>
  </si>
  <si>
    <r>
      <t xml:space="preserve">Pedoman tertulis tentang </t>
    </r>
    <r>
      <rPr>
        <sz val="10"/>
        <color rgb="FF0D0D0D"/>
        <rFont val="Arial"/>
        <family val="2"/>
      </rPr>
      <t xml:space="preserve">sistem seleksi, perekrutan, penempatan, pengembangan, retensi, dan pemberhentian dosen dan tenaga kependidikan, serta efektivitas pelaksanaannya. </t>
    </r>
  </si>
  <si>
    <t>4.2.1</t>
  </si>
  <si>
    <r>
      <t xml:space="preserve">Pedoman tertulis tentang </t>
    </r>
    <r>
      <rPr>
        <sz val="10"/>
        <color rgb="FF0D0D0D"/>
        <rFont val="Arial"/>
        <family val="2"/>
      </rPr>
      <t xml:space="preserve">sistem monitoring dan evaluasi, serta rekam jejak kinerja dosen dan tenaga kependidikan, dan konsistensi pelaksanaannya. </t>
    </r>
  </si>
  <si>
    <t>4.2.2</t>
  </si>
  <si>
    <t>Pelaksanaan monitoring dan evaluasi kinerja dosen di bidang  pendidikan, penelitian, pelayanan/pengabdian kepada masyarakat.</t>
  </si>
  <si>
    <t>4.3.1.1</t>
  </si>
  <si>
    <t xml:space="preserve">Dosen tetap berpendidikan (terakhir) S2 dan S3 yang bidang keahliannya sesuai dengan kompetensi PS. </t>
  </si>
  <si>
    <t>4.3.1.2</t>
  </si>
  <si>
    <t>Dosen tetap yang memiliki jabatan lektor kepala yang bidang keahliannya sesuai dengan kompetensi PS.</t>
  </si>
  <si>
    <t>4.3.1.3</t>
  </si>
  <si>
    <r>
      <t>Rasio mahasiswa terhadap dosen tetap yang bidang keahliannya sesuai dengan bidang PS (R</t>
    </r>
    <r>
      <rPr>
        <vertAlign val="subscript"/>
        <sz val="10"/>
        <color theme="1"/>
        <rFont val="Arial"/>
        <family val="2"/>
      </rPr>
      <t>MD</t>
    </r>
    <r>
      <rPr>
        <sz val="10"/>
        <color theme="1"/>
        <rFont val="Arial"/>
        <family val="2"/>
      </rPr>
      <t>).</t>
    </r>
  </si>
  <si>
    <t>4.3.2.1</t>
  </si>
  <si>
    <t>Dosen tetap yang memiliki Sertifikat Pendidik Profesional.</t>
  </si>
  <si>
    <t>4.3.2.2</t>
  </si>
  <si>
    <t>Dosen tetap yang memiliki Sertifikat Kompetensi/Profesi.</t>
  </si>
  <si>
    <t>4.3.3</t>
  </si>
  <si>
    <t>Rata-rata beban dosen per semester (SKS).</t>
  </si>
  <si>
    <t>4.3.4 &amp; 4.3.5</t>
  </si>
  <si>
    <t>Kesesuaian keahlian (pendidikan terakhir) dosen dengan mata kuliah yang diajarkannya.</t>
  </si>
  <si>
    <t xml:space="preserve">Persentase kehadiran dosen tetap dalam perkuliahan </t>
  </si>
  <si>
    <t>4.4.1</t>
  </si>
  <si>
    <r>
      <t>Persentase jumlah dosen tidak tetap, terhadap jumlah seluruh dosen (= P</t>
    </r>
    <r>
      <rPr>
        <vertAlign val="subscript"/>
        <sz val="10"/>
        <color theme="1"/>
        <rFont val="Arial"/>
        <family val="2"/>
      </rPr>
      <t>DTT</t>
    </r>
    <r>
      <rPr>
        <sz val="10"/>
        <color theme="1"/>
        <rFont val="Arial"/>
        <family val="2"/>
      </rPr>
      <t>).</t>
    </r>
  </si>
  <si>
    <t>4.4.2.1</t>
  </si>
  <si>
    <t>Kesesuaian keahlian dosen tidak tetap dengan mata kuliah yang diampu.</t>
  </si>
  <si>
    <t>4.4.2.2</t>
  </si>
  <si>
    <t xml:space="preserve">Persentase kehadiran dosen tidak tetap dalam perkuliahan </t>
  </si>
  <si>
    <t>4.5.1</t>
  </si>
  <si>
    <t>Kegiatan tenaga ahli/pakar sebagai pembicara dalam seminar/pelatihan, pembicara tamu, dsb, dari luar PT sendiri (tidak termasuk dosen tidak tetap).</t>
  </si>
  <si>
    <t>4.5.2</t>
  </si>
  <si>
    <t>Peningkatan kemampuan dosen tetap melalui program tugas belajar dalam bidang yang sesuai dengan bidang PS.</t>
  </si>
  <si>
    <t>4.5.3</t>
  </si>
  <si>
    <r>
      <t xml:space="preserve">Kegiatan dosen tetap yang bidang keahliannya sesuai dengan PS dalam seminar ilmiah/ lokakarya/ penataran/ </t>
    </r>
    <r>
      <rPr>
        <i/>
        <sz val="10"/>
        <color theme="1"/>
        <rFont val="Arial"/>
        <family val="2"/>
      </rPr>
      <t>workshop</t>
    </r>
    <r>
      <rPr>
        <sz val="10"/>
        <color theme="1"/>
        <rFont val="Arial"/>
        <family val="2"/>
      </rPr>
      <t>/ pagelaran/ pameran/peragaan yang tidak hanya melibatkan dosen PT sendiri.</t>
    </r>
  </si>
  <si>
    <t>4.5.4</t>
  </si>
  <si>
    <t>Prestasi dosen dalam mendapatkan penghargaan hibah, pendanaan program dan kegiatan akademik dari tingkat nasional dan internasional.</t>
  </si>
  <si>
    <t>4.5.5</t>
  </si>
  <si>
    <t>Reputasi dan keluasan jejaring dosen dalam bidang akademik dan profesi.</t>
  </si>
  <si>
    <t>4.6.1.1</t>
  </si>
  <si>
    <t>Pustakawan dan kualifikasinya.</t>
  </si>
  <si>
    <t>4.6.1.2</t>
  </si>
  <si>
    <t>Laboran, teknisi, analis, operator, programer: kecukupan dan kesesuaian kompetensi dan kegiatannya.</t>
  </si>
  <si>
    <t>4.6.1.3</t>
  </si>
  <si>
    <t>Tenaga administrasi: kecukupan dan kesesuaian kompetensinya.</t>
  </si>
  <si>
    <t>4.6.2</t>
  </si>
  <si>
    <t xml:space="preserve">Upaya yang telah dilakukan PS dalam meningkatkan kualifikasi dan kompetensi tenaga kependidikan. </t>
  </si>
  <si>
    <t>5.1.1.1</t>
  </si>
  <si>
    <t>Kompetensi lulusan: kelengkapan dan perumusan kompetensi.</t>
  </si>
  <si>
    <t>5.1.1.2</t>
  </si>
  <si>
    <t>Kompetensi lulusan: orientasi dan kesesuaian dengan visi dan misi.</t>
  </si>
  <si>
    <t>5.1.2.1.1</t>
  </si>
  <si>
    <t xml:space="preserve">Struktur kurikulum: kesesuaian mata kuliah dan urutannya dengan standar kompetensi. </t>
  </si>
  <si>
    <t>5.1.2.1.2</t>
  </si>
  <si>
    <r>
      <t>Struktur kurikulum: jumlah SKS yang digunakan untuk kegiatan praktikum/ praktek/ PKL (=J</t>
    </r>
    <r>
      <rPr>
        <vertAlign val="subscript"/>
        <sz val="10"/>
        <color rgb="FF000000"/>
        <rFont val="Arial"/>
        <family val="2"/>
      </rPr>
      <t xml:space="preserve">SKS </t>
    </r>
    <r>
      <rPr>
        <sz val="10"/>
        <color rgb="FF000000"/>
        <rFont val="Arial"/>
        <family val="2"/>
      </rPr>
      <t>)</t>
    </r>
  </si>
  <si>
    <t>5.1.2.1.3</t>
  </si>
  <si>
    <t xml:space="preserve">Struktur kurikulum: persentase mata kuliah  yang dalam penentuan nilai akhirnya memberikan bobot pada tugas-tugas (PR atau laporan) ≥ 20% </t>
  </si>
  <si>
    <t>5.1.2.1.4</t>
  </si>
  <si>
    <r>
      <t>Struktur kurikulum: persentase mata kuliah dilengkapi dengan deskripsi mata kuliah, silabus dan SAP (= MK</t>
    </r>
    <r>
      <rPr>
        <vertAlign val="subscript"/>
        <sz val="10"/>
        <color theme="1"/>
        <rFont val="Arial"/>
        <family val="2"/>
      </rPr>
      <t>SAP</t>
    </r>
    <r>
      <rPr>
        <sz val="10"/>
        <color theme="1"/>
        <rFont val="Arial"/>
        <family val="2"/>
      </rPr>
      <t>)</t>
    </r>
  </si>
  <si>
    <t>5.1.2.2</t>
  </si>
  <si>
    <t>Substansi dan pelaksanaan praktikum/praktek.</t>
  </si>
  <si>
    <t>5.2.1</t>
  </si>
  <si>
    <t>Pelaksanaan proses pembelajaran: mekanisme monitoring perkuliahan (kehadiran mahasiswa, kehadiran dosen, materi kuliah)</t>
  </si>
  <si>
    <t>5.2.2</t>
  </si>
  <si>
    <r>
      <t>Pelaksanaan proses pembelajaran: jumlah jam real yang digunakan untuk kegiatan praktikum/ praktek/ PKL (=J</t>
    </r>
    <r>
      <rPr>
        <vertAlign val="subscript"/>
        <sz val="10"/>
        <color rgb="FF000000"/>
        <rFont val="Arial"/>
        <family val="2"/>
      </rPr>
      <t xml:space="preserve">jam real </t>
    </r>
    <r>
      <rPr>
        <sz val="10"/>
        <color rgb="FF000000"/>
        <rFont val="Arial"/>
        <family val="2"/>
      </rPr>
      <t>)</t>
    </r>
  </si>
  <si>
    <t>5.2.3</t>
  </si>
  <si>
    <t>Mutu soal ujian</t>
  </si>
  <si>
    <t>5.3.1</t>
  </si>
  <si>
    <t>Peninjauan kurikulum selama 5 tahun terakhir: mekanisme, pihak yang terlibat, hasil peninjauan.</t>
  </si>
  <si>
    <t>5.3.2</t>
  </si>
  <si>
    <t>Penyesuaian kurikulum dengan perkembangan ipteks dan kebutuhan pemangku kepentingan</t>
  </si>
  <si>
    <t>5.4.1.1</t>
  </si>
  <si>
    <t>Rata-rata banyaknya mahasiswa per dosen Pembimbing Akademik (PA)/Wali per semester</t>
  </si>
  <si>
    <t>5.4.1.2</t>
  </si>
  <si>
    <t>Jumlah rata-rata pertemuan pembimbingan per mahasiswa per semester.</t>
  </si>
  <si>
    <t>5.4.2.1</t>
  </si>
  <si>
    <t>Pelaksanaan kegiatan pembimbingan akademik: keterlibatan dosen dan kesesuaian pelaksanaannya dengan panduan.</t>
  </si>
  <si>
    <t>5.4.2.2</t>
  </si>
  <si>
    <t>Efektivitas kegiatan perwalian.</t>
  </si>
  <si>
    <t>5.5.1</t>
  </si>
  <si>
    <t>Bentuk dan mutu karya/tugas akhir.</t>
  </si>
  <si>
    <t>5.5.2.1</t>
  </si>
  <si>
    <t>Ketersediaan panduan, sosialisasi, dan pelaksanaan karya/tugas akhir.</t>
  </si>
  <si>
    <t>5.5.2.2</t>
  </si>
  <si>
    <t xml:space="preserve">Rata-rata mahasiswa per dosen pembimbing karya/tugas akhir. </t>
  </si>
  <si>
    <t>5.5.2.3</t>
  </si>
  <si>
    <t>Rata-rata jumlah pertemuan/pembimbingan selama penyelesaian TA.</t>
  </si>
  <si>
    <t>5.5.2.4</t>
  </si>
  <si>
    <t>Kualifikasi akademik dosen pembimbing tugas akhir.</t>
  </si>
  <si>
    <t>Upaya perbaikan sistem pembelajaran yang telah dilakukan selama tiga tahun terakhir.</t>
  </si>
  <si>
    <t>5.7.1</t>
  </si>
  <si>
    <t>Kebijakan tentang suasana akademik (otonomi keilmuan, kebebasan akademik, kebebasan mimbar akademik).</t>
  </si>
  <si>
    <t>5.7.2</t>
  </si>
  <si>
    <t>Ketersediaan dan jenis prasarana, sarana dan dana yang memungkinkan terciptanya interaksi akademik antara sivitas akademika.</t>
  </si>
  <si>
    <t>5.7.3</t>
  </si>
  <si>
    <t>Program dan kegiatan akademik untuk menciptakan suasana akademik (seminar, simposium, lokakarya, bedah buku, penelitian bersama dll).</t>
  </si>
  <si>
    <t>5.7.4</t>
  </si>
  <si>
    <t>Interaksi akademik antara dosen-mahasiswa.</t>
  </si>
  <si>
    <t>Pembekalan lulusan program studi dengan etika profesi.</t>
  </si>
  <si>
    <t>Budaya keselamatan kerja dalam kegiatan praktikum/praktek: ketersediaan pedoman, keefektifan pelaksanaan, dan kelengkapan peralatan.</t>
  </si>
  <si>
    <t>Keterlibatan program studi dalam perencanaan target kinerja, perencanaan kegiatan/ kerja dan perencanaan alokasi dan pengelolaan dana.</t>
  </si>
  <si>
    <t>6.2.1.1</t>
  </si>
  <si>
    <r>
      <t>Persentase perolehan dana dari mahasiswa dibandingkan dengan total penerimaan dana (= PD</t>
    </r>
    <r>
      <rPr>
        <vertAlign val="subscript"/>
        <sz val="10"/>
        <color theme="1"/>
        <rFont val="Arial"/>
        <family val="2"/>
      </rPr>
      <t>MHS</t>
    </r>
    <r>
      <rPr>
        <sz val="10"/>
        <color theme="1"/>
        <rFont val="Arial"/>
        <family val="2"/>
      </rPr>
      <t>)</t>
    </r>
  </si>
  <si>
    <t>6.2.1.2</t>
  </si>
  <si>
    <t>Dana operasional per mahasiswa per tahun.</t>
  </si>
  <si>
    <t>6.2.2</t>
  </si>
  <si>
    <t>Dana penelitian dosen dalam tiga tahun terakhir.</t>
  </si>
  <si>
    <t>6.2.3</t>
  </si>
  <si>
    <t>Dana  pelayanan/ pengabdian kepada masyarakat dalam tiga  tahun terakhir</t>
  </si>
  <si>
    <t>6.3.1</t>
  </si>
  <si>
    <t>Ruang kerja dosen: luas dan kelayakannya.</t>
  </si>
  <si>
    <t>6.3.2</t>
  </si>
  <si>
    <t>Kelengkapan, kepemilikan, dan mutu prasarana (kantor, ruang kelas, ruang laboratorium, studio, ruang perpustakaan, kebun percobaan, dsb. kecuali  ruang dosen) yang dipergunakan PS dalam proses pembelajaran.</t>
  </si>
  <si>
    <t>6.3.3</t>
  </si>
  <si>
    <t>Kelayakan prasarana lain yang menunjang (misalnya tempat olah raga, ruang bersama, ruang himpunan mahasiswa, poliklinik)</t>
  </si>
  <si>
    <t>6.4.1.1</t>
  </si>
  <si>
    <r>
      <t xml:space="preserve">Bahan pustaka yang relevan, berupa buku teks dan </t>
    </r>
    <r>
      <rPr>
        <i/>
        <sz val="10"/>
        <color theme="1"/>
        <rFont val="Arial"/>
        <family val="2"/>
      </rPr>
      <t>handbook</t>
    </r>
    <r>
      <rPr>
        <sz val="10"/>
        <color theme="1"/>
        <rFont val="Arial"/>
        <family val="2"/>
      </rPr>
      <t xml:space="preserve"> (termasuk yang versi elektronik).</t>
    </r>
  </si>
  <si>
    <t>6.4.1.2</t>
  </si>
  <si>
    <t>Bahan pustaka berupa modul praktikum/praktek.</t>
  </si>
  <si>
    <t>6.4.1.3</t>
  </si>
  <si>
    <t>Bahan pustaka berupa majalah ilmiah populer.</t>
  </si>
  <si>
    <t>6.4.1.4</t>
  </si>
  <si>
    <t>Bahan pustaka berupa jurnal ilmiah terakreditasi Dikti.</t>
  </si>
  <si>
    <t>6.4.1.5</t>
  </si>
  <si>
    <t>Bahan pustaka  berupa jurnal ilmiah internasional.</t>
  </si>
  <si>
    <t>6.4.1.6</t>
  </si>
  <si>
    <r>
      <t>Bahan pustaka berupa prosiding seminar</t>
    </r>
    <r>
      <rPr>
        <i/>
        <sz val="10"/>
        <color theme="1"/>
        <rFont val="Arial"/>
        <family val="2"/>
      </rPr>
      <t xml:space="preserve"> </t>
    </r>
    <r>
      <rPr>
        <sz val="10"/>
        <color theme="1"/>
        <rFont val="Arial"/>
        <family val="2"/>
      </rPr>
      <t>dalam tiga tahun terakhir</t>
    </r>
  </si>
  <si>
    <t>6.4.2</t>
  </si>
  <si>
    <t>Akses ke perpustakaan di luar PT atau sumber pustaka lainnya.</t>
  </si>
  <si>
    <t>6.4.3</t>
  </si>
  <si>
    <r>
      <t xml:space="preserve">Ketersediaan, akses dan pendayagunaan sarana utama di lab </t>
    </r>
    <r>
      <rPr>
        <sz val="10"/>
        <color theme="1"/>
        <rFont val="Arial"/>
        <family val="2"/>
      </rPr>
      <t xml:space="preserve">(tempat praktikum, bengkel, studio, ruang simulasi, rumah sakit, puskesmas/balai kesehatan, </t>
    </r>
    <r>
      <rPr>
        <i/>
        <sz val="10"/>
        <color theme="1"/>
        <rFont val="Arial"/>
        <family val="2"/>
      </rPr>
      <t>green house</t>
    </r>
    <r>
      <rPr>
        <sz val="10"/>
        <color theme="1"/>
        <rFont val="Arial"/>
        <family val="2"/>
      </rPr>
      <t>, lahan untuk pertanian, dan sejenisnya)</t>
    </r>
  </si>
  <si>
    <t>6.5.1</t>
  </si>
  <si>
    <r>
      <t>Sistem informasi</t>
    </r>
    <r>
      <rPr>
        <sz val="10"/>
        <color theme="1"/>
        <rFont val="Arial"/>
        <family val="2"/>
      </rPr>
      <t xml:space="preserve"> dan fasilitas yang digunakan PS</t>
    </r>
    <r>
      <rPr>
        <sz val="10"/>
        <color rgb="FF000000"/>
        <rFont val="Arial"/>
        <family val="2"/>
      </rPr>
      <t xml:space="preserve"> dalam proses pembelajaran </t>
    </r>
    <r>
      <rPr>
        <sz val="10"/>
        <color theme="1"/>
        <rFont val="Arial"/>
        <family val="2"/>
      </rPr>
      <t>(</t>
    </r>
    <r>
      <rPr>
        <i/>
        <sz val="10"/>
        <color theme="1"/>
        <rFont val="Arial"/>
        <family val="2"/>
      </rPr>
      <t>hardware</t>
    </r>
    <r>
      <rPr>
        <sz val="10"/>
        <color theme="1"/>
        <rFont val="Arial"/>
        <family val="2"/>
      </rPr>
      <t xml:space="preserve">, </t>
    </r>
    <r>
      <rPr>
        <i/>
        <sz val="10"/>
        <color theme="1"/>
        <rFont val="Arial"/>
        <family val="2"/>
      </rPr>
      <t>software</t>
    </r>
    <r>
      <rPr>
        <sz val="10"/>
        <color theme="1"/>
        <rFont val="Arial"/>
        <family val="2"/>
      </rPr>
      <t xml:space="preserve">, </t>
    </r>
    <r>
      <rPr>
        <i/>
        <sz val="10"/>
        <color theme="1"/>
        <rFont val="Arial"/>
        <family val="2"/>
      </rPr>
      <t>e-learning,</t>
    </r>
    <r>
      <rPr>
        <sz val="10"/>
        <color theme="1"/>
        <rFont val="Arial"/>
        <family val="2"/>
      </rPr>
      <t xml:space="preserve"> akses </t>
    </r>
    <r>
      <rPr>
        <i/>
        <sz val="10"/>
        <color theme="1"/>
        <rFont val="Arial"/>
        <family val="2"/>
      </rPr>
      <t>on-line</t>
    </r>
    <r>
      <rPr>
        <sz val="10"/>
        <color theme="1"/>
        <rFont val="Arial"/>
        <family val="2"/>
      </rPr>
      <t xml:space="preserve"> ke perpustakaan, dll.)</t>
    </r>
  </si>
  <si>
    <t>6.5.2</t>
  </si>
  <si>
    <t>Aksesibilitas data dalam sistem informasi.</t>
  </si>
  <si>
    <t>7.1.1</t>
  </si>
  <si>
    <t>Jumlah penelitian yang sesuai dengan bidang keilmuan PS, yang dilakukan oleh dosen tetap yang bidang keahliannya sama dengan PS selama 3 tahun.</t>
  </si>
  <si>
    <t>7.1.2</t>
  </si>
  <si>
    <t>Jumlah artikel ilmiah yang dihasilkan oleh dosen tetap yang bidang keahliannya sama dengan PS selama 3 tahun</t>
  </si>
  <si>
    <t>7.1.3</t>
  </si>
  <si>
    <t>Karya-karya PS/institusi yang telah memperoleh perlindungan Hak atas Kekayaan Intelektual (HaKI) dalam tiga tahun terakhir</t>
  </si>
  <si>
    <t>7.2.1</t>
  </si>
  <si>
    <t>Jumlah kegiatan pelayanan/pengabdian kepada masyarakat (PkM) yang dilakukan oleh dosen tetap yang bidang keahliannya sama dengan PS selama tiga tahun.</t>
  </si>
  <si>
    <t>7.2.2</t>
  </si>
  <si>
    <t>Keterlibatan mahasiswa dalam kegiatan pelayanan/pengabdian kepada masyarakat.</t>
  </si>
  <si>
    <t>7.3.1</t>
  </si>
  <si>
    <t>Kegiatan kerjasama dengan instansi di dalam negeri dalam tiga tahun terakhir.</t>
  </si>
  <si>
    <t>7.3.2</t>
  </si>
  <si>
    <t>Kegiatan kerjasama dengan instansi di luar negeri dalam tiga tahun terakhir.</t>
  </si>
  <si>
    <t>*Skala nilai dari 0 s.d. 4.</t>
  </si>
  <si>
    <t>FORMAT 3. PENILAIAN BORANG UNIT PENGELOLA PROGRAM STUDI DIPLOMA</t>
  </si>
  <si>
    <t>Informasi dari Borang</t>
  </si>
  <si>
    <t>Strategi pencapaian sasaran dengan rentang waktu yang jelas dan didukung oleh dokumen.</t>
  </si>
  <si>
    <r>
      <t xml:space="preserve">Tingkat pemahaman </t>
    </r>
    <r>
      <rPr>
        <sz val="10"/>
        <color theme="1"/>
        <rFont val="Arial"/>
        <family val="2"/>
      </rPr>
      <t>sivitas akademika  dan tenaga kependidikan terhadap visi, misi, tujuan dan sasaran unit pengelola program studi.</t>
    </r>
  </si>
  <si>
    <t>Tata pamong menjamin terwujudnya visi, terlaksananya misi, tercapainya tujuan, berhasilnya strategi yang digunakan secara kredibel, transparan, akuntabel, bertanggung jawab, dan adil</t>
  </si>
  <si>
    <t>Efisiensi dalam struktur organisasi.</t>
  </si>
  <si>
    <t>Kepemimpinan yang efektif (kepemimpinan operasional, kepemimpinan organisasi, dan kepemimpinan publik).</t>
  </si>
  <si>
    <r>
      <t xml:space="preserve">Sistem pengelolaan fungsional dan operasional unit pengelola program studi diploma mencakup: Perencanaan, pengorganisasian, pengembangan staf, pengawasan, pengarahan, representasi, dan penganggaran </t>
    </r>
    <r>
      <rPr>
        <i/>
        <sz val="10"/>
        <color theme="1"/>
        <rFont val="Arial"/>
        <family val="2"/>
      </rPr>
      <t xml:space="preserve"> </t>
    </r>
    <r>
      <rPr>
        <sz val="10"/>
        <color theme="1"/>
        <rFont val="Arial"/>
        <family val="2"/>
      </rPr>
      <t>yang efektif dilaksanakan.</t>
    </r>
  </si>
  <si>
    <t>2.5.1</t>
  </si>
  <si>
    <t>Keberadaan dan efektivitas unit pelaksana penjaminan mutu.</t>
  </si>
  <si>
    <t>2.5.2</t>
  </si>
  <si>
    <t>Ketersediaan dan pelaksanaan standar mutu.</t>
  </si>
  <si>
    <t>3.1.1</t>
  </si>
  <si>
    <t xml:space="preserve">Ketersediaan dokumen tentang penerimaan mahasiswa baru dan pelaksanaannya.  </t>
  </si>
  <si>
    <t>Rasio mahasiswa baru transfer terhadap mahasiswa baru reguler.</t>
  </si>
  <si>
    <t>3.1.3</t>
  </si>
  <si>
    <t>Tujuan, proses penerimaan, dan mutu mahasiswa transfer.</t>
  </si>
  <si>
    <t>3.2.1.1</t>
  </si>
  <si>
    <t>Rata-rata masa studi lulusan.</t>
  </si>
  <si>
    <t>3.2.1.2</t>
  </si>
  <si>
    <t>Rata-rata IPK lulusan.</t>
  </si>
  <si>
    <t>Upaya pengembangan dan peningkatan mutu lulusan: jenis program yang dilakukan dan efektivitas pelaksanaannya.</t>
  </si>
  <si>
    <t>4.1.1</t>
  </si>
  <si>
    <t xml:space="preserve">Kecukupan dan kualifikasi dosen tetap  pada unit pengelola program studi diploma. </t>
  </si>
  <si>
    <t>4.1.2</t>
  </si>
  <si>
    <t xml:space="preserve">Dosen yang tugas belajar. </t>
  </si>
  <si>
    <t>4.1.3</t>
  </si>
  <si>
    <t>Upaya unit pengelola program studi diploma dalam mengembangkan tenaga dosen tetap.</t>
  </si>
  <si>
    <t>Kecukupan, kompetensi, dan kualifikasi tenaga kependidikan.</t>
  </si>
  <si>
    <r>
      <t xml:space="preserve">Bentuk dukungan unit pengelola program studi diploma dalam </t>
    </r>
    <r>
      <rPr>
        <sz val="10"/>
        <color theme="1"/>
        <rFont val="Arial"/>
        <family val="2"/>
      </rPr>
      <t>penyusunan, implementasi, dan pengembangan kurikulum antara lain dalam bentuk penyediaan fasilitas, pengorganisasian kegiatan, serta bantuan pendanaan.</t>
    </r>
  </si>
  <si>
    <t>Unit pengelola program studi diploma melakukan monitoring dan evaluasi secara bersistem dan hasilnya digunakan untuk perbaikan proses pembelajaran.</t>
  </si>
  <si>
    <t>Dukungan unit pengelola program studi diploma dalam penciptaan  suasana akademik.</t>
  </si>
  <si>
    <t>6.1.1.1</t>
  </si>
  <si>
    <t xml:space="preserve">Persentase perolehan dana dari mahasiswa dibandingkan dengan total penerimaan dana </t>
  </si>
  <si>
    <t>6.1.1.2</t>
  </si>
  <si>
    <t>Biaya satuan pendidikan per mahasiswa per tahun.</t>
  </si>
  <si>
    <t>6.1.1.3</t>
  </si>
  <si>
    <t>Dana penelitian dalam tiga tahun terakhir.</t>
  </si>
  <si>
    <t>6.1.1.4</t>
  </si>
  <si>
    <t>Dana yang diperoleh dalam rangka pelayanan/pengabdian kepada masyarakat dalam tiga  tahun terakhir.</t>
  </si>
  <si>
    <t>6.1.2.1</t>
  </si>
  <si>
    <t>Kecukupan dana yang diperoleh unit pengelola program studi diploma.</t>
  </si>
  <si>
    <t>6.1.2.2</t>
  </si>
  <si>
    <t>Upaya pengembangan dana.</t>
  </si>
  <si>
    <t>6.2.1</t>
  </si>
  <si>
    <t xml:space="preserve">Investasi untuk pengadaan sarana dalam tiga tahun terakhir dibandingkan dengan kebutuhan saat ini. </t>
  </si>
  <si>
    <t>Rencana investasi untuk pengadaan sarana dalam lima tahun ke depan.</t>
  </si>
  <si>
    <r>
      <t>Mutu dan kecukupan akses p</t>
    </r>
    <r>
      <rPr>
        <sz val="10"/>
        <color theme="1"/>
        <rFont val="Arial"/>
        <family val="2"/>
      </rPr>
      <t>rasarana yang dikelola unit pengelola program studi diploma untuk keperluan PS.</t>
    </r>
  </si>
  <si>
    <t>Rencana pengembangan prasarana oleh unit pengelola program studi diploma.</t>
  </si>
  <si>
    <r>
      <t xml:space="preserve">Pemanfaatan teknologi komunikasi dan informasi  untuk </t>
    </r>
    <r>
      <rPr>
        <sz val="10"/>
        <color theme="1"/>
        <rFont val="Arial"/>
        <family val="2"/>
      </rPr>
      <t xml:space="preserve">proses pembelajaran, termasuk </t>
    </r>
    <r>
      <rPr>
        <i/>
        <sz val="10"/>
        <color theme="1"/>
        <rFont val="Arial"/>
        <family val="2"/>
      </rPr>
      <t>e-learning.</t>
    </r>
    <r>
      <rPr>
        <sz val="10"/>
        <color theme="1"/>
        <rFont val="Arial"/>
        <family val="2"/>
      </rPr>
      <t xml:space="preserve"> </t>
    </r>
  </si>
  <si>
    <r>
      <t xml:space="preserve">Pemanfaatan teknologi komunikasi dan informasi  untuk </t>
    </r>
    <r>
      <rPr>
        <sz val="10"/>
        <color theme="1"/>
        <rFont val="Arial"/>
        <family val="2"/>
      </rPr>
      <t xml:space="preserve">penyelenggaraan administrasi (misalkan SIAKAD, SIMKEU, SIMAWA, SIMFA, SIMPEG). </t>
    </r>
  </si>
  <si>
    <r>
      <t xml:space="preserve">Pemanfaatan teknologi komunikasi dan informasi  untuk </t>
    </r>
    <r>
      <rPr>
        <sz val="10"/>
        <color theme="1"/>
        <rFont val="Arial"/>
        <family val="2"/>
      </rPr>
      <t xml:space="preserve">proses pengambilan keputusan dalam pengembangan institusi (antara lain informasi berupa deskripsi, ringkasan, dan trend berbagai jenis data).  </t>
    </r>
  </si>
  <si>
    <t>Aksesibilitas data dalam sistem informasi dan komunikasi.</t>
  </si>
  <si>
    <t xml:space="preserve">Media/cara penyebaran informasi/kebijakan untuk sivitas akademika dan tenaga kependidikan di unit pengelola program studi diploma. </t>
  </si>
  <si>
    <t>6.4.4</t>
  </si>
  <si>
    <t>Rencana strategis pengembangan sistem informasi jangka panjang: mempertimbangkan perkembangan teknologi informasi, dan komitmen unit pengelola program studi diploma dalam hal pendanaan.</t>
  </si>
  <si>
    <t>7.1.1.1</t>
  </si>
  <si>
    <t xml:space="preserve">Banyaknya kegiatan penelitian dosen tetap program studi diploma sejenjang. </t>
  </si>
  <si>
    <t>7.1.1.2</t>
  </si>
  <si>
    <t>Besar dana penelitian dosen tetap program studi diploma sejenjang.</t>
  </si>
  <si>
    <t>Upaya pengembangan kegiatan penelitian oleh unit pengelola program studi diploma.</t>
  </si>
  <si>
    <t>7.2.1.1</t>
  </si>
  <si>
    <t>Banyak kegiatan PkM dosen tetap seluruh program studi diploma sejenjang.</t>
  </si>
  <si>
    <t>7.2.1.2</t>
  </si>
  <si>
    <t>Besar dana PkM dosen tetap seluruh program studi diploma sejenjang.</t>
  </si>
  <si>
    <t>Upaya pengembangan kegiatan PkM oleh unit pengelola program studi diploma.</t>
  </si>
  <si>
    <t>Kegiatan kerjasama dengan instansi di dalam negeri dalam tiga tahun terakhir</t>
  </si>
  <si>
    <t>Total</t>
  </si>
  <si>
    <t xml:space="preserve">(1) Evaluasi diri program studi (10%), </t>
  </si>
  <si>
    <t xml:space="preserve">(2) Borang program studi (75%), dan  </t>
  </si>
  <si>
    <t>T O T A L</t>
  </si>
  <si>
    <t xml:space="preserve">Penentuan skor akhir merupakan jumlah dari hasil penilaian </t>
  </si>
  <si>
    <t>(3) Borang unit pengelola program studi (15%).</t>
  </si>
  <si>
    <t>Akreditasi</t>
  </si>
  <si>
    <r>
      <t>1.1   V</t>
    </r>
    <r>
      <rPr>
        <sz val="10"/>
        <color theme="1"/>
        <rFont val="Arial"/>
        <family val="2"/>
      </rPr>
      <t>isi, misi, tujuan, dan sasaran, serta strategi pencapaian sasaran program studi.</t>
    </r>
  </si>
  <si>
    <r>
      <t xml:space="preserve">1.1.1  Kejelasan,  kerealistikan, dan keterkaitan antar </t>
    </r>
    <r>
      <rPr>
        <sz val="10"/>
        <color theme="1"/>
        <rFont val="Arial"/>
        <family val="2"/>
      </rPr>
      <t>visi, misi, tujuan,  sasaran program studi, dan pemangku kepentingan yang terlibat.</t>
    </r>
  </si>
  <si>
    <r>
      <t xml:space="preserve">1.1.2  </t>
    </r>
    <r>
      <rPr>
        <sz val="10"/>
        <color rgb="FF0D0D0D"/>
        <rFont val="Arial"/>
        <family val="2"/>
      </rPr>
      <t>Strategi pencapaian sasaran dengan rentang waktu yang jelas dan didukung oleh dokumen.</t>
    </r>
  </si>
  <si>
    <t>DESKRIPTOR</t>
  </si>
  <si>
    <t>PERINGKAT</t>
  </si>
  <si>
    <r>
      <t xml:space="preserve">1.2   Pemahaman </t>
    </r>
    <r>
      <rPr>
        <sz val="10"/>
        <color theme="1"/>
        <rFont val="Arial"/>
        <family val="2"/>
      </rPr>
      <t xml:space="preserve"> visi, misi, tujuan, dan sasaran program studi. </t>
    </r>
  </si>
  <si>
    <t>1.2  Pemahaman pemangku kepentingan internal (sivitas akademika dan tenaga kependidikan) terhadap visi, misi, tujuan dan sasaran program studi.</t>
  </si>
  <si>
    <t xml:space="preserve">2.1  Tata Pamong </t>
  </si>
  <si>
    <t>2.1  Jaminan tata pamong untuk mewujudkan visi, melaksanakan misi, mencapai tujuan dengan menggunakan strategi secara kredibel, transparan, akuntabel, bertanggung jawab dan adil.</t>
  </si>
  <si>
    <t xml:space="preserve">2.2  Kepemimpinan di program studi </t>
  </si>
  <si>
    <t>2.2  Karakteristik kepemimpinan di program studi yang mencakup: kepemimpinan operasional, kepemimpinan organisasi, dan kepemimpinan publik.</t>
  </si>
  <si>
    <t>2.3  Sistem pengelolaan fungsional dan operasional  program studi.</t>
  </si>
  <si>
    <t>ELEMEN PENILAIAN</t>
  </si>
  <si>
    <t>2.4  Penjaminan mutu.</t>
  </si>
  <si>
    <t xml:space="preserve">2.4  Pelaksanaan penjaminan mutu di program studi, </t>
  </si>
  <si>
    <t>2.5  Umpan balik</t>
  </si>
  <si>
    <t>2.5  Umpan balik  untuk peningkatan mutu proses pembelajaran.  Informasi mencakup: sumber umpan balik, keberlanjutan pelaksanaan, dan tindak lanjutnya.</t>
  </si>
  <si>
    <r>
      <t>2.6  Upaya untuk menjamin keberlanjutan (</t>
    </r>
    <r>
      <rPr>
        <i/>
        <sz val="10"/>
        <color theme="1"/>
        <rFont val="Arial"/>
        <family val="2"/>
      </rPr>
      <t>sustainability</t>
    </r>
    <r>
      <rPr>
        <sz val="10"/>
        <color theme="1"/>
        <rFont val="Arial"/>
        <family val="2"/>
      </rPr>
      <t>) program studi.</t>
    </r>
  </si>
  <si>
    <r>
      <t>2.6  Upaya-upaya yang telah dilakukan penyelenggara program studi untuk menjamin keberlanjutan (</t>
    </r>
    <r>
      <rPr>
        <i/>
        <sz val="10"/>
        <color theme="1"/>
        <rFont val="Arial"/>
        <family val="2"/>
      </rPr>
      <t>sustainability</t>
    </r>
    <r>
      <rPr>
        <sz val="10"/>
        <color theme="1"/>
        <rFont val="Arial"/>
        <family val="2"/>
      </rPr>
      <t>) program studi.</t>
    </r>
  </si>
  <si>
    <t>3.1.1  Efektivitas implementasi sistem rekrutmen dan seleksi calon mahasiswa untuk menghasilkan calon mahasiswa yang bermutu.</t>
  </si>
  <si>
    <t>3.1.1.1   Rasio calon mahasiswa yang ikut seleksi : daya tampung.</t>
  </si>
  <si>
    <t>Mahasiswa yang ikut seleksi</t>
  </si>
  <si>
    <t>Daya tampung</t>
  </si>
  <si>
    <t>3.1.1.2  Rasio mahasiswa baru reguler yang melakukan registrasi : calon mahasiswa baru reguler yang lulus seleksi</t>
  </si>
  <si>
    <t>Mahasiswa baru reguler yang melakukan registrasi</t>
  </si>
  <si>
    <t>Calon mahasiswa baru reguler yang lulus seleksi</t>
  </si>
  <si>
    <r>
      <t xml:space="preserve">3.1.1.3 </t>
    </r>
    <r>
      <rPr>
        <b/>
        <sz val="10"/>
        <color rgb="FFC00000"/>
        <rFont val="Arial"/>
        <family val="2"/>
      </rPr>
      <t xml:space="preserve"> </t>
    </r>
    <r>
      <rPr>
        <sz val="10"/>
        <color theme="1"/>
        <rFont val="Arial"/>
        <family val="2"/>
      </rPr>
      <t xml:space="preserve">Rasio mahasiswa baru transfer terhadap mahasiswa baru regular. </t>
    </r>
  </si>
  <si>
    <r>
      <t>T</t>
    </r>
    <r>
      <rPr>
        <vertAlign val="subscript"/>
        <sz val="10"/>
        <color theme="1"/>
        <rFont val="Arial"/>
        <family val="2"/>
      </rPr>
      <t>MBT</t>
    </r>
    <r>
      <rPr>
        <sz val="10"/>
        <color theme="1"/>
        <rFont val="Arial"/>
        <family val="2"/>
      </rPr>
      <t xml:space="preserve"> = total mahasiswa baru transfer untuk program diploma reguler </t>
    </r>
  </si>
  <si>
    <r>
      <t>T</t>
    </r>
    <r>
      <rPr>
        <vertAlign val="subscript"/>
        <sz val="10"/>
        <color theme="1"/>
        <rFont val="Arial"/>
        <family val="2"/>
      </rPr>
      <t>MB</t>
    </r>
    <r>
      <rPr>
        <sz val="10"/>
        <color theme="1"/>
        <rFont val="Arial"/>
        <family val="2"/>
      </rPr>
      <t xml:space="preserve"> = total mahasiswa baru bukan transfer untuk program diploma reguler</t>
    </r>
  </si>
  <si>
    <t>3.1.1.4  Rata-rata Indeks Prestasi Kumulatif (IPK) selama lima tahun terakhir.</t>
  </si>
  <si>
    <t>Rata-rata (IPK)</t>
  </si>
  <si>
    <t>3.1.2  Prestasi dan reputasi akademik, bakat dan minat mahasiswa</t>
  </si>
  <si>
    <t>3.1.2  Penghargaan atas prestasi mahasiswa di bidang nalar, bakat dan minat.</t>
  </si>
  <si>
    <r>
      <t xml:space="preserve">3.1.3   Tingkat kelulusan tepat waktu dan persentase </t>
    </r>
    <r>
      <rPr>
        <i/>
        <sz val="10"/>
        <color rgb="FF000000"/>
        <rFont val="Arial"/>
        <family val="2"/>
      </rPr>
      <t>drop out</t>
    </r>
    <r>
      <rPr>
        <sz val="10"/>
        <color rgb="FF000000"/>
        <rFont val="Arial"/>
        <family val="2"/>
      </rPr>
      <t xml:space="preserve"> (DO)/mengundurkan diri.</t>
    </r>
  </si>
  <si>
    <r>
      <t>3.1.3.1  Persentase kelulusan tepat waktu (K</t>
    </r>
    <r>
      <rPr>
        <vertAlign val="subscript"/>
        <sz val="10"/>
        <color theme="1"/>
        <rFont val="Arial"/>
        <family val="2"/>
      </rPr>
      <t>TW</t>
    </r>
    <r>
      <rPr>
        <sz val="10"/>
        <color theme="1"/>
        <rFont val="Arial"/>
        <family val="2"/>
      </rPr>
      <t>).</t>
    </r>
  </si>
  <si>
    <t>(f)</t>
  </si>
  <si>
    <t>(d)</t>
  </si>
  <si>
    <t>Program Diploma</t>
  </si>
  <si>
    <r>
      <t>3.1.3.2  Persentase mahasiswa yang DO atau mengundurkan diri (M</t>
    </r>
    <r>
      <rPr>
        <vertAlign val="subscript"/>
        <sz val="10"/>
        <color theme="1"/>
        <rFont val="Arial"/>
        <family val="2"/>
      </rPr>
      <t>DO</t>
    </r>
    <r>
      <rPr>
        <sz val="10"/>
        <color theme="1"/>
        <rFont val="Arial"/>
        <family val="2"/>
      </rPr>
      <t xml:space="preserve">). </t>
    </r>
  </si>
  <si>
    <t>(a)</t>
  </si>
  <si>
    <t>(b)</t>
  </si>
  <si>
    <t>(c)</t>
  </si>
  <si>
    <t>3.2  Layanan kepada mahasiswa.</t>
  </si>
  <si>
    <t>3.2.1  Jenis layanan yang disediakan kepada mahasiswa yang dapat dimanfaatkan untuk membina dan mengembangkan penalaran, minat, bakat, seni, dan kesejahteraan.</t>
  </si>
  <si>
    <r>
      <t>1.</t>
    </r>
    <r>
      <rPr>
        <sz val="7"/>
        <color rgb="FF000000"/>
        <rFont val="Times New Roman"/>
        <family val="1"/>
      </rPr>
      <t xml:space="preserve">     </t>
    </r>
    <r>
      <rPr>
        <sz val="10"/>
        <color rgb="FF000000"/>
        <rFont val="Arial"/>
        <family val="2"/>
      </rPr>
      <t>Bimbingan dan konseling</t>
    </r>
  </si>
  <si>
    <r>
      <t>2.</t>
    </r>
    <r>
      <rPr>
        <sz val="7"/>
        <color rgb="FF000000"/>
        <rFont val="Times New Roman"/>
        <family val="1"/>
      </rPr>
      <t xml:space="preserve">     </t>
    </r>
    <r>
      <rPr>
        <sz val="10"/>
        <color rgb="FF000000"/>
        <rFont val="Arial"/>
        <family val="2"/>
      </rPr>
      <t>Minat dan bakat (ekstra kurikuler)</t>
    </r>
  </si>
  <si>
    <r>
      <t>3.</t>
    </r>
    <r>
      <rPr>
        <i/>
        <sz val="7"/>
        <color rgb="FF000000"/>
        <rFont val="Times New Roman"/>
        <family val="1"/>
      </rPr>
      <t xml:space="preserve">     </t>
    </r>
    <r>
      <rPr>
        <sz val="10"/>
        <color rgb="FF000000"/>
        <rFont val="Arial"/>
        <family val="2"/>
      </rPr>
      <t xml:space="preserve">Pembinaan </t>
    </r>
    <r>
      <rPr>
        <i/>
        <sz val="10"/>
        <color rgb="FF000000"/>
        <rFont val="Arial"/>
        <family val="2"/>
      </rPr>
      <t>soft skill</t>
    </r>
  </si>
  <si>
    <r>
      <t>4.</t>
    </r>
    <r>
      <rPr>
        <sz val="7"/>
        <color rgb="FF000000"/>
        <rFont val="Times New Roman"/>
        <family val="1"/>
      </rPr>
      <t xml:space="preserve">     </t>
    </r>
    <r>
      <rPr>
        <sz val="10"/>
        <color rgb="FF000000"/>
        <rFont val="Arial"/>
        <family val="2"/>
      </rPr>
      <t>Layanan beasiswa</t>
    </r>
  </si>
  <si>
    <r>
      <t>5.</t>
    </r>
    <r>
      <rPr>
        <sz val="7"/>
        <color rgb="FF000000"/>
        <rFont val="Times New Roman"/>
        <family val="1"/>
      </rPr>
      <t xml:space="preserve">     </t>
    </r>
    <r>
      <rPr>
        <sz val="10"/>
        <color rgb="FF000000"/>
        <rFont val="Arial"/>
        <family val="2"/>
      </rPr>
      <t>Layanan kesehatan</t>
    </r>
  </si>
  <si>
    <t>ADA</t>
  </si>
  <si>
    <r>
      <t xml:space="preserve">3.2.2   </t>
    </r>
    <r>
      <rPr>
        <sz val="10"/>
        <color theme="1"/>
        <rFont val="Arial"/>
        <family val="2"/>
      </rPr>
      <t xml:space="preserve">Mutu layanan yang disediakan kepada mahasiswa yang dapat dimanfaatkan untuk membina dan mengembangkan penalaran, minat, bakat, seni, dan kesejahteraan. </t>
    </r>
  </si>
  <si>
    <t>3.3  Usaha penempatan lulusan</t>
  </si>
  <si>
    <t xml:space="preserve">3.3 Usaha-usaha program studi/jurusan mencarikan tempat kerja bagi lulusannya. </t>
  </si>
  <si>
    <t>3.4   Evaluasi  lulusan.</t>
  </si>
  <si>
    <t>3.4.1.1   Upaya pelacakan dan perekaman data lulusan.</t>
  </si>
  <si>
    <t>3.4.1.2   Penggunaan hasil pelacakan untuk perbaikan aspek berikut:</t>
  </si>
  <si>
    <t xml:space="preserve">(1) proses pembelajaran, </t>
  </si>
  <si>
    <t xml:space="preserve">(2) penggalangan dana, </t>
  </si>
  <si>
    <t xml:space="preserve">(3) informasi pekerjaan, </t>
  </si>
  <si>
    <t>(4) membangun jejaring.</t>
  </si>
  <si>
    <t>YA</t>
  </si>
  <si>
    <r>
      <t>3.4.1.3  Pendapat pengguna (</t>
    </r>
    <r>
      <rPr>
        <i/>
        <sz val="10"/>
        <color theme="1"/>
        <rFont val="Arial"/>
        <family val="2"/>
      </rPr>
      <t>employer</t>
    </r>
    <r>
      <rPr>
        <sz val="10"/>
        <color theme="1"/>
        <rFont val="Arial"/>
        <family val="2"/>
      </rPr>
      <t>) lulusan terhadap mutu alumni.</t>
    </r>
  </si>
  <si>
    <t>3.4.2  Keahlian/kemampuan yang menunjukkan keunggulan lulusan program studi.</t>
  </si>
  <si>
    <t>3.4.3  Masa tunggu lulusan untuk memperoleh pekerjaan yang pertama</t>
  </si>
  <si>
    <r>
      <t>R</t>
    </r>
    <r>
      <rPr>
        <vertAlign val="subscript"/>
        <sz val="10"/>
        <color theme="1"/>
        <rFont val="Arial"/>
        <family val="2"/>
      </rPr>
      <t>MT</t>
    </r>
    <r>
      <rPr>
        <sz val="10"/>
        <color theme="1"/>
        <rFont val="Arial"/>
        <family val="2"/>
      </rPr>
      <t xml:space="preserve"> = rata-rata masa tunggu lulusan memperoleh pekerjaan yang pertama</t>
    </r>
  </si>
  <si>
    <t>3.4.4  Kesesuaian bidang kerja lulusan dengan bidang studi.</t>
  </si>
  <si>
    <r>
      <t>P</t>
    </r>
    <r>
      <rPr>
        <vertAlign val="subscript"/>
        <sz val="10"/>
        <color theme="1"/>
        <rFont val="Arial"/>
        <family val="2"/>
      </rPr>
      <t>BS</t>
    </r>
    <r>
      <rPr>
        <sz val="10"/>
        <color theme="1"/>
        <rFont val="Arial"/>
        <family val="2"/>
      </rPr>
      <t xml:space="preserve"> = persentase kesesuaian bidang kerja dengan bidang studi (keahlian) lulusan</t>
    </r>
  </si>
  <si>
    <t>3.4.5  Persentase lulusan yang dipesan dan diterima oleh lembaga (instansi/industri)</t>
  </si>
  <si>
    <t>3.5   Partisipasi alumni dalam mendukung pengembangan akademik dan non-akademik program studi.</t>
  </si>
  <si>
    <t>3.5  Partisipasi alumni dalam mendukung pengembangan  program studi.</t>
  </si>
  <si>
    <r>
      <t>(1)</t>
    </r>
    <r>
      <rPr>
        <sz val="7"/>
        <color theme="1"/>
        <rFont val="Times New Roman"/>
        <family val="1"/>
      </rPr>
      <t xml:space="preserve">   </t>
    </r>
    <r>
      <rPr>
        <sz val="10"/>
        <color theme="1"/>
        <rFont val="Arial"/>
        <family val="2"/>
      </rPr>
      <t>Sumbangan dana</t>
    </r>
  </si>
  <si>
    <r>
      <t>(2)</t>
    </r>
    <r>
      <rPr>
        <sz val="7"/>
        <color theme="1"/>
        <rFont val="Times New Roman"/>
        <family val="1"/>
      </rPr>
      <t xml:space="preserve">   </t>
    </r>
    <r>
      <rPr>
        <sz val="10"/>
        <color theme="1"/>
        <rFont val="Arial"/>
        <family val="2"/>
      </rPr>
      <t>Sumbangan fasilitas</t>
    </r>
  </si>
  <si>
    <r>
      <t>(3)</t>
    </r>
    <r>
      <rPr>
        <sz val="7"/>
        <color theme="1"/>
        <rFont val="Times New Roman"/>
        <family val="1"/>
      </rPr>
      <t xml:space="preserve">   </t>
    </r>
    <r>
      <rPr>
        <sz val="10"/>
        <color theme="1"/>
        <rFont val="Arial"/>
        <family val="2"/>
      </rPr>
      <t>Masukan untuk perbaikan proses pembelajaran</t>
    </r>
  </si>
  <si>
    <t>(4) Pengembangan jejaring</t>
  </si>
  <si>
    <t>Keterangan Warna Sel :</t>
  </si>
  <si>
    <t>:</t>
  </si>
  <si>
    <t>Isi dengan rentang Nilai 1-4</t>
  </si>
  <si>
    <t>Tidak usah diisi</t>
  </si>
  <si>
    <t>Rata-rata IPK TS-4</t>
  </si>
  <si>
    <t>Rata-rata IPK TS-3</t>
  </si>
  <si>
    <t>Rata-rata IPK TS-2</t>
  </si>
  <si>
    <t>Rata-rata IPK TS</t>
  </si>
  <si>
    <t>Rata-rata IPK TS-1</t>
  </si>
  <si>
    <t>4.1  Sistem rekrutmen, penempatan, pengembangan, retensi, dan pemberhentian dosen dan tenaga kependidikan untuk menjamin mutu penyelenggaraan program akademik.</t>
  </si>
  <si>
    <r>
      <t xml:space="preserve">4.1  Pedoman tertulis tentang </t>
    </r>
    <r>
      <rPr>
        <sz val="10"/>
        <color rgb="FF0D0D0D"/>
        <rFont val="Arial"/>
        <family val="2"/>
      </rPr>
      <t xml:space="preserve">rekrutmen, penempatan, pengembangan, retensi, dan pemberhentian dosen dan tenaga kependidikan, serta efektivitas pelaksanaannya. </t>
    </r>
  </si>
  <si>
    <t>4.2  Sistem monitoring dan evaluasi, serta rekam jejak kinerja dosen dan tenaga kependidikan</t>
  </si>
  <si>
    <r>
      <t xml:space="preserve">4.2.1  Pedoman tertulis tentang </t>
    </r>
    <r>
      <rPr>
        <sz val="10"/>
        <color rgb="FF0D0D0D"/>
        <rFont val="Arial"/>
        <family val="2"/>
      </rPr>
      <t xml:space="preserve">sistem monitoring dan evaluasi, serta rekam jejak kinerja dosen dan tenaga kependidikan, dan konsistensi pelaksanaannya. </t>
    </r>
  </si>
  <si>
    <t>4.2.2  Pelaksanaan monitoring dan evaluasi kinerja dosen di bidang  pendidikan, penelitian, pelayanan/pengabdian kepada masyarakat.</t>
  </si>
  <si>
    <t xml:space="preserve">4.3  Kualifikasi akademik, kompetensi (pedagogik, kepribadian, sosial, dan profesional), dan jumlah (rasio dosen mahasiswa, jabatan akademik) dosen tetap dan tidak tetap (dosen mata kuliah, dosen tamu, dosen luar biasa dan/atau pakar, sesuai dengan kebutuhan) untuk menjamin mutu program akademik. </t>
  </si>
  <si>
    <t>Pelaksanaan tugas dosen tetap selama tiga tahun terakhir</t>
  </si>
  <si>
    <r>
      <t>·</t>
    </r>
    <r>
      <rPr>
        <sz val="7"/>
        <color theme="1"/>
        <rFont val="Times New Roman"/>
        <family val="1"/>
      </rPr>
      <t xml:space="preserve">   </t>
    </r>
    <r>
      <rPr>
        <sz val="10"/>
        <color theme="1"/>
        <rFont val="Arial"/>
        <family val="2"/>
      </rPr>
      <t xml:space="preserve">Bila pada saat </t>
    </r>
    <r>
      <rPr>
        <i/>
        <sz val="10"/>
        <color theme="1"/>
        <rFont val="Arial"/>
        <family val="2"/>
      </rPr>
      <t>asesmen kecukupan</t>
    </r>
    <r>
      <rPr>
        <sz val="10"/>
        <color theme="1"/>
        <rFont val="Arial"/>
        <family val="2"/>
      </rPr>
      <t xml:space="preserve"> syarat minimum tersebut tidak terpenuhi maka hal ini perlu divalidasi terlebih dahulu pada saat asesmen lapangan. </t>
    </r>
  </si>
  <si>
    <r>
      <t>·</t>
    </r>
    <r>
      <rPr>
        <sz val="7"/>
        <color theme="1"/>
        <rFont val="Times New Roman"/>
        <family val="1"/>
      </rPr>
      <t xml:space="preserve">   </t>
    </r>
    <r>
      <rPr>
        <sz val="10"/>
        <color theme="1"/>
        <rFont val="Arial"/>
        <family val="2"/>
      </rPr>
      <t xml:space="preserve">Bila ternyata hasil validasi pada saat asesmen lapangan PS </t>
    </r>
    <r>
      <rPr>
        <u/>
        <sz val="10"/>
        <color theme="1"/>
        <rFont val="Arial"/>
        <family val="2"/>
      </rPr>
      <t>tidak memenuhi</t>
    </r>
    <r>
      <rPr>
        <sz val="10"/>
        <color theme="1"/>
        <rFont val="Arial"/>
        <family val="2"/>
      </rPr>
      <t xml:space="preserve"> syarat minimum ini, maka asesor melaporkan secara khusus ke BAN-PT mengenai hal ini.</t>
    </r>
  </si>
  <si>
    <t>4.3.1.1  Dosen tetap berpendidikan minimal S2 yang bidang keahliannya sesuai dengan kompetensi PS.</t>
  </si>
  <si>
    <r>
      <t>KD</t>
    </r>
    <r>
      <rPr>
        <vertAlign val="subscript"/>
        <sz val="10"/>
        <color theme="1"/>
        <rFont val="Arial"/>
        <family val="2"/>
      </rPr>
      <t>1</t>
    </r>
    <r>
      <rPr>
        <sz val="10"/>
        <color theme="1"/>
        <rFont val="Arial"/>
        <family val="2"/>
      </rPr>
      <t xml:space="preserve"> = Persentase dosen tetap berpendidikan minimal S2 yang bidang keahliannya sesuai dengan kompetensi PS</t>
    </r>
  </si>
  <si>
    <t>4.3.1.2  Dosen tetap yang memiliki jabatan lektor kepala yang bidang keahliannya sesuai dengan kompetensi PS.</t>
  </si>
  <si>
    <r>
      <t>KD</t>
    </r>
    <r>
      <rPr>
        <vertAlign val="subscript"/>
        <sz val="10"/>
        <color theme="1"/>
        <rFont val="Arial"/>
        <family val="2"/>
      </rPr>
      <t xml:space="preserve">2 </t>
    </r>
    <r>
      <rPr>
        <sz val="10"/>
        <color theme="1"/>
        <rFont val="Arial"/>
        <family val="2"/>
      </rPr>
      <t>= Persentase Dosen tetap yang memiliki jabatan lektor kepala yang bidang keahliannya sesuai dengan kompetensi PS.</t>
    </r>
  </si>
  <si>
    <r>
      <t>4.3.1.3  Rasio mahasiswa terhadap dosen tetap yang bidang keahliannya sesuai dengan bidang PS (R</t>
    </r>
    <r>
      <rPr>
        <vertAlign val="subscript"/>
        <sz val="10"/>
        <color theme="1"/>
        <rFont val="Arial"/>
        <family val="2"/>
      </rPr>
      <t>MD</t>
    </r>
    <r>
      <rPr>
        <sz val="10"/>
        <color theme="1"/>
        <rFont val="Arial"/>
        <family val="2"/>
      </rPr>
      <t>).</t>
    </r>
  </si>
  <si>
    <t>Jumlah mahasiswa tetap</t>
  </si>
  <si>
    <t>Jumlah dosen tetap</t>
  </si>
  <si>
    <t>4.3.2.1  Dosen tetap yang memiliki Sertifikat Pendidik Profesional.</t>
  </si>
  <si>
    <r>
      <t>KD</t>
    </r>
    <r>
      <rPr>
        <vertAlign val="subscript"/>
        <sz val="10"/>
        <color theme="1"/>
        <rFont val="Arial"/>
        <family val="2"/>
      </rPr>
      <t>3</t>
    </r>
    <r>
      <rPr>
        <sz val="10"/>
        <color theme="1"/>
        <rFont val="Arial"/>
        <family val="2"/>
      </rPr>
      <t xml:space="preserve"> = Persentase dosen tetap yang memiliki Sertifikat Pendidik Profesional</t>
    </r>
  </si>
  <si>
    <t>4.3.2.2  Dosen tetap yang memiliki Sertifikat Kompetensi/Profesi.</t>
  </si>
  <si>
    <r>
      <t>KD</t>
    </r>
    <r>
      <rPr>
        <vertAlign val="subscript"/>
        <sz val="10"/>
        <color theme="1"/>
        <rFont val="Arial"/>
        <family val="2"/>
      </rPr>
      <t>4</t>
    </r>
    <r>
      <rPr>
        <sz val="10"/>
        <color theme="1"/>
        <rFont val="Arial"/>
        <family val="2"/>
      </rPr>
      <t xml:space="preserve"> = Persentase dosen tetap yang memiliki Sertifikat Kompetensi/Profesi.</t>
    </r>
  </si>
  <si>
    <t>4.3.3  Rata-rata beban kerja dosen per semester (SKS).</t>
  </si>
  <si>
    <t>4.3.4 &amp; 4.3.5  Kesesuaian keahlian (pendidikan terakhir) dosen dengan mata kuliah yang diajarkannya.</t>
  </si>
  <si>
    <t xml:space="preserve">4.3.4 &amp; 4.3.5  Persentase kehadiran dosen tetap dalam perkuliahan </t>
  </si>
  <si>
    <r>
      <t>PK</t>
    </r>
    <r>
      <rPr>
        <vertAlign val="subscript"/>
        <sz val="10"/>
        <color theme="1"/>
        <rFont val="Arial"/>
        <family val="2"/>
      </rPr>
      <t>DT</t>
    </r>
    <r>
      <rPr>
        <sz val="10"/>
        <color theme="1"/>
        <rFont val="Arial"/>
        <family val="2"/>
      </rPr>
      <t xml:space="preserve"> = Persentase kehadiran dosen tetap dalam perkuliahan (terhadap jumlah kehadiran yang direncanakan)</t>
    </r>
  </si>
  <si>
    <t>4.4  Jumlah, kualifikasi, dan pelaksanaan tugas dosen tidak tetap.</t>
  </si>
  <si>
    <r>
      <t>4.4.1  Persentase jumlah dosen tidak tetap, terhadap jumlah seluruh dosen (= P</t>
    </r>
    <r>
      <rPr>
        <vertAlign val="subscript"/>
        <sz val="10"/>
        <color theme="1"/>
        <rFont val="Arial"/>
        <family val="2"/>
      </rPr>
      <t>DTT</t>
    </r>
    <r>
      <rPr>
        <sz val="10"/>
        <color theme="1"/>
        <rFont val="Arial"/>
        <family val="2"/>
      </rPr>
      <t>).</t>
    </r>
  </si>
  <si>
    <t>PDTT</t>
  </si>
  <si>
    <t>4.4.2.1  Kesesuaian keahlian dosen tidak tetap dengan mata kuliah yang diajarkan.</t>
  </si>
  <si>
    <t>4.4.2.2  Persentase kehadiran dosen tidak tetap dalam perkuliahan</t>
  </si>
  <si>
    <r>
      <t>PK</t>
    </r>
    <r>
      <rPr>
        <vertAlign val="subscript"/>
        <sz val="10"/>
        <color theme="1"/>
        <rFont val="Arial"/>
        <family val="2"/>
      </rPr>
      <t>DTT</t>
    </r>
    <r>
      <rPr>
        <sz val="10"/>
        <color theme="1"/>
        <rFont val="Arial"/>
        <family val="2"/>
      </rPr>
      <t xml:space="preserve"> = Persentase kehadiran dosen tidak tetap dalam perkuliahan (terhadap jumlah kehadiran yang direncanakan).</t>
    </r>
  </si>
  <si>
    <t>4.5.1  Kegiatan tenaga ahli/pakar sebagai pembicara dalam seminar/pelatihan, pembicara tamu, dsb, dari luar PT sendiri (tidak termasuk dosen tidak tetap).</t>
  </si>
  <si>
    <t>Jumlah tenaga ahli/pakar</t>
  </si>
  <si>
    <r>
      <t xml:space="preserve">4.5  </t>
    </r>
    <r>
      <rPr>
        <sz val="10"/>
        <color theme="1"/>
        <rFont val="Arial"/>
        <family val="2"/>
      </rPr>
      <t>Upaya peningkatan sumber daya manusia (SDM) dalam tiga tahun terakhir.</t>
    </r>
  </si>
  <si>
    <t>4.5.2  Peningkatan kemampuan dosen tetap melalui program tugas belajar dalam bidang yang sesuai dengan bidang PS.</t>
  </si>
  <si>
    <r>
      <t>N</t>
    </r>
    <r>
      <rPr>
        <vertAlign val="subscript"/>
        <sz val="10"/>
        <color theme="1"/>
        <rFont val="Arial"/>
        <family val="2"/>
      </rPr>
      <t>2</t>
    </r>
    <r>
      <rPr>
        <sz val="10"/>
        <color theme="1"/>
        <rFont val="Arial"/>
        <family val="2"/>
      </rPr>
      <t xml:space="preserve"> = Jumlah dosen yang mengikuti tugas belajar jenjang S2 pada bidang keahlian yang sesuai dengan PS dalam kurun waktu tiga tahun terakhir.</t>
    </r>
  </si>
  <si>
    <r>
      <t>N</t>
    </r>
    <r>
      <rPr>
        <vertAlign val="subscript"/>
        <sz val="10"/>
        <color theme="1"/>
        <rFont val="Arial"/>
        <family val="2"/>
      </rPr>
      <t>3</t>
    </r>
    <r>
      <rPr>
        <sz val="10"/>
        <color theme="1"/>
        <rFont val="Arial"/>
        <family val="2"/>
      </rPr>
      <t xml:space="preserve"> = Jumlah dosen yang mengikuti tugas belajar jenjang S3 pada bidang keahlian yang sesuai dengan PS dalam kurun waktu tiga tahun terakhir</t>
    </r>
  </si>
  <si>
    <r>
      <t>SD  = (0.75 N</t>
    </r>
    <r>
      <rPr>
        <vertAlign val="subscript"/>
        <sz val="10"/>
        <color theme="1"/>
        <rFont val="Arial"/>
        <family val="2"/>
      </rPr>
      <t>2</t>
    </r>
    <r>
      <rPr>
        <sz val="10"/>
        <color theme="1"/>
        <rFont val="Arial"/>
        <family val="2"/>
      </rPr>
      <t xml:space="preserve"> + 1.25 N</t>
    </r>
    <r>
      <rPr>
        <vertAlign val="subscript"/>
        <sz val="10"/>
        <color theme="1"/>
        <rFont val="Arial"/>
        <family val="2"/>
      </rPr>
      <t>3</t>
    </r>
    <r>
      <rPr>
        <sz val="10"/>
        <color theme="1"/>
        <rFont val="Arial"/>
        <family val="2"/>
      </rPr>
      <t>)</t>
    </r>
  </si>
  <si>
    <r>
      <t xml:space="preserve">4.5.3  Kegiatan dosen tetap yang bidang keahliannya sesuai dengan PS dalam seminar ilmiah/ lokakarya/ penataran/ </t>
    </r>
    <r>
      <rPr>
        <i/>
        <sz val="10"/>
        <color theme="1"/>
        <rFont val="Arial"/>
        <family val="2"/>
      </rPr>
      <t>workshop</t>
    </r>
    <r>
      <rPr>
        <sz val="10"/>
        <color theme="1"/>
        <rFont val="Arial"/>
        <family val="2"/>
      </rPr>
      <t>/ pagelaran/ pameran/peragaan yang tidak hanya melibatkan dosen PT sendiri dalam kurun waktu tiga tahun terakhir.</t>
    </r>
  </si>
  <si>
    <t>a = jumlah makalah atau kegiatan</t>
  </si>
  <si>
    <t>b = jumlah kehadiran (sebagai peserta)</t>
  </si>
  <si>
    <t>n = jumlah dosen tetap</t>
  </si>
  <si>
    <t>SP</t>
  </si>
  <si>
    <t>4.5.4   Prestasi dosen dalam mendapatkan penghargaan hibah, pendanaan program dan kegiatan akademik dari tingkat internasional, nasional, wilayah, dan lokal dalam tiga tahun terakhir.</t>
  </si>
  <si>
    <t>4.5.5  Reputasi dan keluasan jejaring dosen dalam bidang akademik dan profesi.</t>
  </si>
  <si>
    <t>Jumlah dosen tetap berpendidikan minimal S2</t>
  </si>
  <si>
    <t>Jumlah dosen tetap yang memiliki jabatan lektor kepala</t>
  </si>
  <si>
    <t>Jumlah dosen tetap yang memiliki sertifikat pendidik profesional</t>
  </si>
  <si>
    <t>Jumlah dosen tetap yang memiliki Sertifikat Kompetensi/Profesi.</t>
  </si>
  <si>
    <r>
      <t xml:space="preserve">4.6  Jumlah, rasio, kualifikasi akademik dan kompetensi tenaga kependidikan (pustakawan, laboran, analis, teknisi, operator, </t>
    </r>
    <r>
      <rPr>
        <sz val="10"/>
        <color theme="1"/>
        <rFont val="Arial"/>
        <family val="2"/>
      </rPr>
      <t>programer,</t>
    </r>
    <r>
      <rPr>
        <sz val="10"/>
        <color rgb="FFC00000"/>
        <rFont val="Arial"/>
        <family val="2"/>
      </rPr>
      <t xml:space="preserve"> </t>
    </r>
    <r>
      <rPr>
        <sz val="10"/>
        <color rgb="FF0D0D0D"/>
        <rFont val="Arial"/>
        <family val="2"/>
      </rPr>
      <t>staf administrasi, dan/atau staf pendukung lainnya) untuk menjamin mutu penyelenggaraan program studi.</t>
    </r>
  </si>
  <si>
    <t>4.6.1.1  Pustakawan dan kualifikasinya.</t>
  </si>
  <si>
    <r>
      <t>X</t>
    </r>
    <r>
      <rPr>
        <vertAlign val="subscript"/>
        <sz val="10"/>
        <color theme="1"/>
        <rFont val="Arial"/>
        <family val="2"/>
      </rPr>
      <t>1</t>
    </r>
    <r>
      <rPr>
        <sz val="10"/>
        <color theme="1"/>
        <rFont val="Arial"/>
        <family val="2"/>
      </rPr>
      <t xml:space="preserve"> = jumlah pustakawan yang berpendidikan S2 atau S3.</t>
    </r>
  </si>
  <si>
    <r>
      <t>X</t>
    </r>
    <r>
      <rPr>
        <vertAlign val="subscript"/>
        <sz val="10"/>
        <color theme="1"/>
        <rFont val="Arial"/>
        <family val="2"/>
      </rPr>
      <t>2</t>
    </r>
    <r>
      <rPr>
        <sz val="10"/>
        <color theme="1"/>
        <rFont val="Arial"/>
        <family val="2"/>
      </rPr>
      <t xml:space="preserve"> = jumlah pustakawan yang berpendidikan D4 atau S1</t>
    </r>
  </si>
  <si>
    <r>
      <t>X</t>
    </r>
    <r>
      <rPr>
        <vertAlign val="subscript"/>
        <sz val="10"/>
        <color theme="1"/>
        <rFont val="Arial"/>
        <family val="2"/>
      </rPr>
      <t>3</t>
    </r>
    <r>
      <rPr>
        <sz val="10"/>
        <color theme="1"/>
        <rFont val="Arial"/>
        <family val="2"/>
      </rPr>
      <t xml:space="preserve"> = jumlah pustakawan yang berpendidikan D1, D2, atau D3.</t>
    </r>
  </si>
  <si>
    <r>
      <t>A = (4 X</t>
    </r>
    <r>
      <rPr>
        <vertAlign val="subscript"/>
        <sz val="10"/>
        <color theme="1"/>
        <rFont val="Arial"/>
        <family val="2"/>
      </rPr>
      <t>1</t>
    </r>
    <r>
      <rPr>
        <sz val="10"/>
        <color theme="1"/>
        <rFont val="Arial"/>
        <family val="2"/>
      </rPr>
      <t xml:space="preserve"> + 3 X</t>
    </r>
    <r>
      <rPr>
        <vertAlign val="subscript"/>
        <sz val="10"/>
        <color theme="1"/>
        <rFont val="Arial"/>
        <family val="2"/>
      </rPr>
      <t>2</t>
    </r>
    <r>
      <rPr>
        <sz val="10"/>
        <color theme="1"/>
        <rFont val="Arial"/>
        <family val="2"/>
      </rPr>
      <t xml:space="preserve"> + 2 X</t>
    </r>
    <r>
      <rPr>
        <vertAlign val="subscript"/>
        <sz val="10"/>
        <color theme="1"/>
        <rFont val="Arial"/>
        <family val="2"/>
      </rPr>
      <t>3</t>
    </r>
    <r>
      <rPr>
        <sz val="10"/>
        <color theme="1"/>
        <rFont val="Arial"/>
        <family val="2"/>
      </rPr>
      <t>)/4</t>
    </r>
  </si>
  <si>
    <t>4.6.1.2  Laboran, teknisi, analis, operator, programer: kecukupan, kesesuaian kompetensi dan kegiatannya.</t>
  </si>
  <si>
    <t>4.6.1.3 Tenaga administrasi: kecukupan dan kesesuaian kompetensinya.</t>
  </si>
  <si>
    <r>
      <t>X</t>
    </r>
    <r>
      <rPr>
        <vertAlign val="subscript"/>
        <sz val="10"/>
        <color theme="1"/>
        <rFont val="Arial"/>
        <family val="2"/>
      </rPr>
      <t>1</t>
    </r>
    <r>
      <rPr>
        <sz val="10"/>
        <color theme="1"/>
        <rFont val="Arial"/>
        <family val="2"/>
      </rPr>
      <t xml:space="preserve"> = jumlah tenaga administrasi yang berpendidikan D4 atau S1 ke atas.</t>
    </r>
  </si>
  <si>
    <r>
      <t>X</t>
    </r>
    <r>
      <rPr>
        <vertAlign val="subscript"/>
        <sz val="10"/>
        <color theme="1"/>
        <rFont val="Arial"/>
        <family val="2"/>
      </rPr>
      <t>2</t>
    </r>
    <r>
      <rPr>
        <sz val="10"/>
        <color theme="1"/>
        <rFont val="Arial"/>
        <family val="2"/>
      </rPr>
      <t xml:space="preserve"> = jumlah tenaga administrasi yang berpendidikan D3.</t>
    </r>
  </si>
  <si>
    <r>
      <t>X</t>
    </r>
    <r>
      <rPr>
        <vertAlign val="subscript"/>
        <sz val="10"/>
        <color theme="1"/>
        <rFont val="Arial"/>
        <family val="2"/>
      </rPr>
      <t>3</t>
    </r>
    <r>
      <rPr>
        <sz val="10"/>
        <color theme="1"/>
        <rFont val="Arial"/>
        <family val="2"/>
      </rPr>
      <t xml:space="preserve"> = jumlah tenaga administrasi  yang berpendidikan D1 atau D2</t>
    </r>
  </si>
  <si>
    <r>
      <t>X</t>
    </r>
    <r>
      <rPr>
        <vertAlign val="subscript"/>
        <sz val="10"/>
        <color theme="1"/>
        <rFont val="Arial"/>
        <family val="2"/>
      </rPr>
      <t xml:space="preserve">4 </t>
    </r>
    <r>
      <rPr>
        <sz val="10"/>
        <color theme="1"/>
        <rFont val="Arial"/>
        <family val="2"/>
      </rPr>
      <t>= jumlah tenaga administrasi yang berpendidikan SMU/SMK</t>
    </r>
  </si>
  <si>
    <r>
      <t>D = (4 X</t>
    </r>
    <r>
      <rPr>
        <vertAlign val="subscript"/>
        <sz val="10"/>
        <color theme="1"/>
        <rFont val="Arial"/>
        <family val="2"/>
      </rPr>
      <t>1</t>
    </r>
    <r>
      <rPr>
        <sz val="10"/>
        <color theme="1"/>
        <rFont val="Arial"/>
        <family val="2"/>
      </rPr>
      <t xml:space="preserve"> + 3 X</t>
    </r>
    <r>
      <rPr>
        <vertAlign val="subscript"/>
        <sz val="10"/>
        <color theme="1"/>
        <rFont val="Arial"/>
        <family val="2"/>
      </rPr>
      <t>2</t>
    </r>
    <r>
      <rPr>
        <sz val="10"/>
        <color theme="1"/>
        <rFont val="Arial"/>
        <family val="2"/>
      </rPr>
      <t xml:space="preserve"> + 2 X</t>
    </r>
    <r>
      <rPr>
        <vertAlign val="subscript"/>
        <sz val="10"/>
        <color theme="1"/>
        <rFont val="Arial"/>
        <family val="2"/>
      </rPr>
      <t>3</t>
    </r>
    <r>
      <rPr>
        <sz val="10"/>
        <color theme="1"/>
        <rFont val="Arial"/>
        <family val="2"/>
      </rPr>
      <t xml:space="preserve"> + X</t>
    </r>
    <r>
      <rPr>
        <vertAlign val="subscript"/>
        <sz val="10"/>
        <color theme="1"/>
        <rFont val="Arial"/>
        <family val="2"/>
      </rPr>
      <t>4</t>
    </r>
    <r>
      <rPr>
        <sz val="10"/>
        <color theme="1"/>
        <rFont val="Arial"/>
        <family val="2"/>
      </rPr>
      <t>)/4</t>
    </r>
  </si>
  <si>
    <t>4.6.2  Upaya yang telah dilakukan PS dalam meningkatkan kualifikasi dan kompetensi tenaga kependidikan.</t>
  </si>
  <si>
    <t>Bidang</t>
  </si>
  <si>
    <t>Non-IPS</t>
  </si>
  <si>
    <t>Jumlah SKS</t>
  </si>
  <si>
    <t>Rata-rata</t>
  </si>
  <si>
    <t>Jumlah dosen tidak tetap</t>
  </si>
  <si>
    <t>Total jumlah Pertemuan yang Direncanakan</t>
  </si>
  <si>
    <t>Total jumlah Pertemuan yang Dilakasanakan</t>
  </si>
  <si>
    <t xml:space="preserve">5.1  Kurikulum </t>
  </si>
  <si>
    <t xml:space="preserve">5.1.1  Kompetensi lulusan
5.1.1.1  Kelengkapan dan perumusan kompetensi.
</t>
  </si>
  <si>
    <t>5.1.1.2  Orientasi dan kesesuaian dengan visi dan misi.</t>
  </si>
  <si>
    <t xml:space="preserve">5.1.2  Struktur Kurikulum
5.1.2.1.1  Kesesuaian mata kuliah dan urutannya dengan standar kompetensi. 
</t>
  </si>
  <si>
    <r>
      <t>5.1.2.1.2  Jumlah SKS yang digunakan untuk kegiatan praktikum/ praktek/ PKL (=J</t>
    </r>
    <r>
      <rPr>
        <vertAlign val="subscript"/>
        <sz val="10"/>
        <color rgb="FF000000"/>
        <rFont val="Arial"/>
        <family val="2"/>
      </rPr>
      <t xml:space="preserve">SKS </t>
    </r>
    <r>
      <rPr>
        <sz val="10"/>
        <color rgb="FF000000"/>
        <rFont val="Arial"/>
        <family val="2"/>
      </rPr>
      <t>)</t>
    </r>
  </si>
  <si>
    <t>Program Studi</t>
  </si>
  <si>
    <t>JSKS</t>
  </si>
  <si>
    <t>Non IPS</t>
  </si>
  <si>
    <r>
      <t xml:space="preserve">5.1.2.1.3  </t>
    </r>
    <r>
      <rPr>
        <sz val="10"/>
        <color theme="1"/>
        <rFont val="Arial"/>
        <family val="2"/>
      </rPr>
      <t xml:space="preserve">Persentase mata kuliah  yang dalam penentuan nilai akhirnya memberikan bobot pada tugas-tugas (PR atau laporan) ≥ 20% </t>
    </r>
    <r>
      <rPr>
        <sz val="10"/>
        <color theme="1"/>
        <rFont val="Wingdings"/>
        <charset val="2"/>
      </rPr>
      <t>à</t>
    </r>
    <r>
      <rPr>
        <sz val="10"/>
        <color theme="1"/>
        <rFont val="Arial"/>
        <family val="2"/>
      </rPr>
      <t xml:space="preserve"> P</t>
    </r>
    <r>
      <rPr>
        <vertAlign val="subscript"/>
        <sz val="10"/>
        <color theme="1"/>
        <rFont val="Arial"/>
        <family val="2"/>
      </rPr>
      <t>TGS</t>
    </r>
  </si>
  <si>
    <r>
      <t>5.1.2.1.4  Persentase mata kuliah dilengkapi dengan deskripsi mata kuliah, silabus dan SAP (= MK</t>
    </r>
    <r>
      <rPr>
        <vertAlign val="subscript"/>
        <sz val="10"/>
        <color theme="1"/>
        <rFont val="Arial"/>
        <family val="2"/>
      </rPr>
      <t>SAP</t>
    </r>
    <r>
      <rPr>
        <sz val="10"/>
        <color theme="1"/>
        <rFont val="Arial"/>
        <family val="2"/>
      </rPr>
      <t>)</t>
    </r>
  </si>
  <si>
    <t>5.1.2.2  Substansi dan pelaksanaan praktikum/praktek.</t>
  </si>
  <si>
    <t>5.2  Pelaksanaan proses pembelajaran</t>
  </si>
  <si>
    <t>5.2.1  Mekanisme monitoring perkuliahan.</t>
  </si>
  <si>
    <t>(a) kehadiran mahasiswa</t>
  </si>
  <si>
    <t>(b) kehadiran dosen</t>
  </si>
  <si>
    <t>(c) materi kuliah</t>
  </si>
  <si>
    <t>Skor akhir  =</t>
  </si>
  <si>
    <r>
      <t>5.2.2  Jumlah jam real yang digunakan untuk kegiatan praktikum/ praktek/ PKL (=J</t>
    </r>
    <r>
      <rPr>
        <vertAlign val="subscript"/>
        <sz val="10"/>
        <color theme="1"/>
        <rFont val="Arial"/>
        <family val="2"/>
      </rPr>
      <t xml:space="preserve">jam real </t>
    </r>
    <r>
      <rPr>
        <sz val="10"/>
        <color theme="1"/>
        <rFont val="Arial"/>
        <family val="2"/>
      </rPr>
      <t>)</t>
    </r>
  </si>
  <si>
    <r>
      <t>J</t>
    </r>
    <r>
      <rPr>
        <vertAlign val="subscript"/>
        <sz val="10"/>
        <color theme="1"/>
        <rFont val="Arial"/>
        <family val="2"/>
      </rPr>
      <t>jam real</t>
    </r>
  </si>
  <si>
    <t>5.2.3  Mutu soal ujian</t>
  </si>
  <si>
    <r>
      <t>P</t>
    </r>
    <r>
      <rPr>
        <vertAlign val="subscript"/>
        <sz val="10"/>
        <color rgb="FF000000"/>
        <rFont val="Arial"/>
        <family val="2"/>
      </rPr>
      <t>Soal</t>
    </r>
    <r>
      <rPr>
        <sz val="10"/>
        <color rgb="FF000000"/>
        <rFont val="Arial"/>
        <family val="2"/>
      </rPr>
      <t xml:space="preserve"> = persentase paket naskah ujian yang mutunya baik dan sesuai dengan silabus mata kuliah.</t>
    </r>
  </si>
  <si>
    <t>5.3.1  Peninjauan kurikulum selama 5 tahun terakhir: mekanisme, pihak yang terlibat, hasil peninjauan.</t>
  </si>
  <si>
    <t>5.3.2  Penyesuaian kurikulum dengan perkembangan ipteks dan kebutuhan pemangku kepentingan</t>
  </si>
  <si>
    <r>
      <t xml:space="preserve">5.4.1.1  </t>
    </r>
    <r>
      <rPr>
        <sz val="10"/>
        <color theme="1"/>
        <rFont val="Arial"/>
        <family val="2"/>
      </rPr>
      <t>Rata-rata banyaknya mahasiswa per dosen Pembimbing Akademik (PA)/Wali per semester</t>
    </r>
  </si>
  <si>
    <t>5.4  Sistem pembimbingan akademik: banyaknya mahasiswa per dosen PA, pelaksanaan kegiatan, rata-rata pertemuan per semester, efektivitas kegiatan perwalian</t>
  </si>
  <si>
    <t xml:space="preserve">Rata-rata banyaknya mahasiswa per dosen PA per tahun </t>
  </si>
  <si>
    <r>
      <t xml:space="preserve">5.4.1.2  </t>
    </r>
    <r>
      <rPr>
        <sz val="10"/>
        <color theme="1"/>
        <rFont val="Arial"/>
        <family val="2"/>
      </rPr>
      <t>Jumlah rata-rata pertemuan pembimbingan per mahasiswa per semester (= PP)</t>
    </r>
  </si>
  <si>
    <t xml:space="preserve"> Jumlah rata-rata pertemuan pembimbingan per mahasiswa per semester (= PP)</t>
  </si>
  <si>
    <r>
      <t>5.4.2.1</t>
    </r>
    <r>
      <rPr>
        <sz val="10"/>
        <color theme="1"/>
        <rFont val="Arial"/>
        <family val="2"/>
      </rPr>
      <t xml:space="preserve">  Pelaksanaan kegiatan pembimbingan akademik: keterlibatan dosen dan kesesuaian pelaksanaannya dengan panduan.</t>
    </r>
  </si>
  <si>
    <t>5.4.2.2  Efektivitas kegiatan perwalian.</t>
  </si>
  <si>
    <t>5.5.1  Bentuk dan mutu karya/tugas akhir.</t>
  </si>
  <si>
    <r>
      <t>5.5  Karya/tugas akhir : bentuk karya/tugas akhir, ketersediaan panduan, rata-rata mahasiswa per dosen pembimbing karya/tugas akhir, rata-rata jumlah pertemuan/ pembimbingan, kualifikasi akademik dosen pembimbing karya/tugas akhir</t>
    </r>
    <r>
      <rPr>
        <sz val="10"/>
        <color rgb="FF000000"/>
        <rFont val="Arial"/>
        <family val="2"/>
      </rPr>
      <t>.</t>
    </r>
  </si>
  <si>
    <r>
      <t xml:space="preserve">5.5.2.1  </t>
    </r>
    <r>
      <rPr>
        <sz val="10"/>
        <color theme="1"/>
        <rFont val="Arial"/>
        <family val="2"/>
      </rPr>
      <t>Ketersediaan panduan, sosialisasi, dan pelaksanaan karya/tugas akhir.</t>
    </r>
  </si>
  <si>
    <r>
      <t xml:space="preserve">5.5.2.2  </t>
    </r>
    <r>
      <rPr>
        <sz val="10"/>
        <color theme="1"/>
        <rFont val="Arial"/>
        <family val="2"/>
      </rPr>
      <t xml:space="preserve">Rata-rata mahasiswa per dosen pembimbing karya/tugas akhir (TA). </t>
    </r>
  </si>
  <si>
    <t>Banyaknya mahasiswa per dosen pembimbing TA</t>
  </si>
  <si>
    <t>5.5.2.3  Rata-rata jumlah pertemuan/pembimbingan selama penyelesaian karya/tugas akhir.</t>
  </si>
  <si>
    <t>Rata-rata jumlah pertemuan/pembimbingan selama penyelesaian karya/tugas akhir.</t>
  </si>
  <si>
    <t>5.5.2.4  Kualifikasi akademik dosen pembimbing tugas akhir.</t>
  </si>
  <si>
    <t>Jumlah dosen pembimbing yang memiliki sertifikat kompetensi/profesi</t>
  </si>
  <si>
    <t>Presentase dosen pembimbing yang memiliki sertifikat kompetensi/profesi</t>
  </si>
  <si>
    <t>Jumlah dosen pembimbing</t>
  </si>
  <si>
    <t>5.6  Upaya perbaikan sistem pembelajaran yang telah dilakukan selama tiga  tahun terakhir untuk meningkatkan mutu lulusan.</t>
  </si>
  <si>
    <r>
      <t xml:space="preserve">5.6   </t>
    </r>
    <r>
      <rPr>
        <sz val="10"/>
        <color rgb="FF000000"/>
        <rFont val="Arial"/>
        <family val="2"/>
      </rPr>
      <t>Upaya perbaikan sistem pembelajaran yang telah dilakukan selama tiga tahun terakhir</t>
    </r>
  </si>
  <si>
    <r>
      <t xml:space="preserve">5.7  Peningkatan suasana akademik: </t>
    </r>
    <r>
      <rPr>
        <sz val="10"/>
        <color theme="1"/>
        <rFont val="Arial"/>
        <family val="2"/>
      </rPr>
      <t>Kebijakan tentang suasana akademik, ketersediaan dan jenis prasarana, sarana dan dana, program dan kegiatan akademik untuk menciptakan suasana akademik, interaksi akademik antara dosen-mahasiswa, serta pengembangan perilaku kecendekiawanan.</t>
    </r>
  </si>
  <si>
    <t>5.7.1 Kebijakan tentang suasana akademik (otonomi keilmuan, kebebasan akademik, kebebasan mimbar akademik).</t>
  </si>
  <si>
    <t>5.7.2 Ketersediaan dan jenis prasarana, sarana dan dana yang memungkinkan terciptanya interaksi akademik antara sivitas akademika.</t>
  </si>
  <si>
    <t>5.7.3 Program dan kegiatan akademik untuk menciptakan suasana akademik (seminar, simposium, lokakarya, bedah buku, penelitian bersama dll).</t>
  </si>
  <si>
    <t>5.7.4 Interaksi akademik antara dosen-mahasiswa</t>
  </si>
  <si>
    <t>5.8  Etika profesi.</t>
  </si>
  <si>
    <t>5.8  Pembekalan lulusan program studi dengan etika profesi.</t>
  </si>
  <si>
    <t>5.9  Budaya keselamatan kerja dalam kegiatan praktikum/praktek.</t>
  </si>
  <si>
    <t>5.9 Budaya keselamatan kerja dalam kegiatan praktikum/praktek:</t>
  </si>
  <si>
    <t xml:space="preserve">6.1  Pengelolaan dana </t>
  </si>
  <si>
    <t>6.1  Keterlibatan program studi dalam perencanaan target kinerja, perencanaan kegiatan/ kerja dan perencanaan alokasi dan pengelolaan dana.</t>
  </si>
  <si>
    <t xml:space="preserve">6.2  Biaya operasional dalam lima tahun terakhir untuk mendukung kegiatan program akademik (pendidikan, penelitian, dan pelayanan/pengabdian kepada masyarakat) </t>
  </si>
  <si>
    <r>
      <t>6.2.1.1  Persentase perolehan dana dari mahasiswa dibandingkan dengan total penerimaan dana (= PD</t>
    </r>
    <r>
      <rPr>
        <vertAlign val="subscript"/>
        <sz val="10"/>
        <color theme="1"/>
        <rFont val="Arial"/>
        <family val="2"/>
      </rPr>
      <t>MHS</t>
    </r>
    <r>
      <rPr>
        <sz val="10"/>
        <color theme="1"/>
        <rFont val="Arial"/>
        <family val="2"/>
      </rPr>
      <t>)</t>
    </r>
  </si>
  <si>
    <t>Total perolehan dana dari mahasiswa (juta)</t>
  </si>
  <si>
    <t>Total penerimaan dana (juta)</t>
  </si>
  <si>
    <t>6.2.1.2  Dana operasional  per mahasiswa per tahun.</t>
  </si>
  <si>
    <t>6.2.2  Dana penelitian dosen dalam tiga tahun terakhir.</t>
  </si>
  <si>
    <t>Jumlah dana penelitian dosen dalam tiga tahun terakhir (juta)</t>
  </si>
  <si>
    <r>
      <t xml:space="preserve">6.2.3  </t>
    </r>
    <r>
      <rPr>
        <sz val="10"/>
        <color theme="1"/>
        <rFont val="Arial"/>
        <family val="2"/>
      </rPr>
      <t>Dana  pelayanan/ pengabdian kepada masyarakat dalam tiga  tahun terakhir.</t>
    </r>
  </si>
  <si>
    <t>Jumlah danapelayanan/ pengabdian kepada masyarakat dalam tiga  tahun terakhir (juta)</t>
  </si>
  <si>
    <t>6.3   Prasarana</t>
  </si>
  <si>
    <t>6.3.1 Ruang kerja dosen</t>
  </si>
  <si>
    <r>
      <t>d = Luas total (m</t>
    </r>
    <r>
      <rPr>
        <vertAlign val="superscript"/>
        <sz val="10"/>
        <color theme="1"/>
        <rFont val="Arial"/>
        <family val="2"/>
      </rPr>
      <t>2</t>
    </r>
    <r>
      <rPr>
        <sz val="10"/>
        <color theme="1"/>
        <rFont val="Arial"/>
        <family val="2"/>
      </rPr>
      <t>) ruang untuk 1 orang dosen- tetap</t>
    </r>
  </si>
  <si>
    <r>
      <t>a = Luas total (m</t>
    </r>
    <r>
      <rPr>
        <vertAlign val="superscript"/>
        <sz val="10"/>
        <color theme="1"/>
        <rFont val="Arial"/>
        <family val="2"/>
      </rPr>
      <t>2</t>
    </r>
    <r>
      <rPr>
        <sz val="10"/>
        <color theme="1"/>
        <rFont val="Arial"/>
        <family val="2"/>
      </rPr>
      <t>) ruang bersama untuk dosen-tetap</t>
    </r>
  </si>
  <si>
    <r>
      <t>b = Luas total (m</t>
    </r>
    <r>
      <rPr>
        <vertAlign val="superscript"/>
        <sz val="10"/>
        <color theme="1"/>
        <rFont val="Arial"/>
        <family val="2"/>
      </rPr>
      <t>2</t>
    </r>
    <r>
      <rPr>
        <sz val="10"/>
        <color theme="1"/>
        <rFont val="Arial"/>
        <family val="2"/>
      </rPr>
      <t>) ruang untuk 3-4 orang dosen- tetap</t>
    </r>
  </si>
  <si>
    <r>
      <t>c = Luas total (m</t>
    </r>
    <r>
      <rPr>
        <vertAlign val="superscript"/>
        <sz val="10"/>
        <color theme="1"/>
        <rFont val="Arial"/>
        <family val="2"/>
      </rPr>
      <t>2</t>
    </r>
    <r>
      <rPr>
        <sz val="10"/>
        <color theme="1"/>
        <rFont val="Arial"/>
        <family val="2"/>
      </rPr>
      <t>) ruang untuk 2 orang dosen- tetap</t>
    </r>
  </si>
  <si>
    <r>
      <t>SL</t>
    </r>
    <r>
      <rPr>
        <vertAlign val="subscript"/>
        <sz val="10"/>
        <color theme="1"/>
        <rFont val="Arial"/>
        <family val="2"/>
      </rPr>
      <t>RDT</t>
    </r>
    <r>
      <rPr>
        <sz val="10"/>
        <color theme="1"/>
        <rFont val="Arial"/>
        <family val="2"/>
      </rPr>
      <t xml:space="preserve"> = A/B</t>
    </r>
  </si>
  <si>
    <t>A= a + 2b + 3c + 4d</t>
  </si>
  <si>
    <t>B= a + b + c +  d</t>
  </si>
  <si>
    <t>6.3.2  Kelengkapan, kepemilikan, dan mutu prasarana (kantor, ruang kelas, ruang laboratorium, studio, ruang perpustakaan, kebun percobaan, dsb. kecuali  ruang dosen) yang dipergunakan PS dalam proses pembelajaran.</t>
  </si>
  <si>
    <r>
      <t xml:space="preserve">6.3.3 </t>
    </r>
    <r>
      <rPr>
        <b/>
        <sz val="10"/>
        <color theme="1"/>
        <rFont val="Arial Narrow"/>
        <family val="2"/>
      </rPr>
      <t xml:space="preserve"> </t>
    </r>
    <r>
      <rPr>
        <sz val="10"/>
        <color theme="1"/>
        <rFont val="Arial"/>
        <family val="2"/>
      </rPr>
      <t>Kelayakan prasarana lain yang menunjang (misalnya tempat olah raga, ruang bersama, ruang himpunan mahasiswa, poliklinik)</t>
    </r>
  </si>
  <si>
    <t>6.4  Akses dan pendayagunaan sarana yang dipergunakan dalam proses administrasi dan pembelajaran serta penyeleng-garaan kegiatan tridarma PT secara efektif</t>
  </si>
  <si>
    <t>6.4.1.1  Bahan pustaka yang relevan, berupa buku teks.</t>
  </si>
  <si>
    <t>Jumlah judul</t>
  </si>
  <si>
    <t>6.4.1.3  Bahan pustaka berupa majalah ilmiah populer</t>
  </si>
  <si>
    <t>6.4.1.4  Bahan pustaka berupa jurnal ilmiah terakreditasi Dikti</t>
  </si>
  <si>
    <t>6.4.1.2  Bahan pustaka berupa modul praktikum/praktek</t>
  </si>
  <si>
    <r>
      <t>P</t>
    </r>
    <r>
      <rPr>
        <vertAlign val="subscript"/>
        <sz val="10"/>
        <color theme="1"/>
        <rFont val="Arial"/>
        <family val="2"/>
      </rPr>
      <t>Modul</t>
    </r>
    <r>
      <rPr>
        <sz val="10"/>
        <color theme="1"/>
        <rFont val="Arial"/>
        <family val="2"/>
      </rPr>
      <t>= Persentase modul untuk praktikum/ praktek (%)</t>
    </r>
  </si>
  <si>
    <r>
      <t>6.4.1.6  Bahan pustaka berupa prosiding seminar</t>
    </r>
    <r>
      <rPr>
        <i/>
        <sz val="10"/>
        <color theme="1"/>
        <rFont val="Arial"/>
        <family val="2"/>
      </rPr>
      <t xml:space="preserve"> </t>
    </r>
    <r>
      <rPr>
        <sz val="10"/>
        <color theme="1"/>
        <rFont val="Arial"/>
        <family val="2"/>
      </rPr>
      <t>dalam tiga tahun terakhir</t>
    </r>
  </si>
  <si>
    <t>Jumlah majalah ilmiah populer</t>
  </si>
  <si>
    <t>Jumlah  jurnal ilmiah terakreditasi Dikti</t>
  </si>
  <si>
    <t>6.4.1.5  Bahan pustaka berupa jurnal ilmiah internasional</t>
  </si>
  <si>
    <t>Jumlah jurnal ilmiah internasional</t>
  </si>
  <si>
    <t>Jumlah prosiding seminar</t>
  </si>
  <si>
    <t>≥ 2 judul jurnal yang relevan</t>
  </si>
  <si>
    <t>1 judul jurnal yang relevan</t>
  </si>
  <si>
    <t>6.4.2  Akses ke perpustakaan di luar PT atau sumber pustaka lainnya.</t>
  </si>
  <si>
    <r>
      <t xml:space="preserve">6.4.3  Ketersediaan, akses dan pendayagunaan sarana utama di lab </t>
    </r>
    <r>
      <rPr>
        <sz val="10"/>
        <color theme="1"/>
        <rFont val="Arial"/>
        <family val="2"/>
      </rPr>
      <t xml:space="preserve">(tempat praktikum, bengkel, studio, ruang simulasi, rumah sakit, puskesmas/balai kesehatan, </t>
    </r>
    <r>
      <rPr>
        <i/>
        <sz val="10"/>
        <color theme="1"/>
        <rFont val="Arial"/>
        <family val="2"/>
      </rPr>
      <t>green house</t>
    </r>
    <r>
      <rPr>
        <sz val="10"/>
        <color theme="1"/>
        <rFont val="Arial"/>
        <family val="2"/>
      </rPr>
      <t>, lahan untuk pertanian, dan sejenisnya)</t>
    </r>
  </si>
  <si>
    <t>6.5  Akses dan pendayagunaan sistem informasi dalam pengelolaan data dan informasi tentang penyelenggaraan program akademik di program studi</t>
  </si>
  <si>
    <r>
      <t>6.5.1  Sistem informasi</t>
    </r>
    <r>
      <rPr>
        <sz val="10"/>
        <color theme="1"/>
        <rFont val="Arial"/>
        <family val="2"/>
      </rPr>
      <t xml:space="preserve"> dan fasilitas yang digunakan PS</t>
    </r>
    <r>
      <rPr>
        <sz val="10"/>
        <color rgb="FF000000"/>
        <rFont val="Arial"/>
        <family val="2"/>
      </rPr>
      <t xml:space="preserve"> dalam proses pembelajaran </t>
    </r>
    <r>
      <rPr>
        <sz val="10"/>
        <color theme="1"/>
        <rFont val="Arial"/>
        <family val="2"/>
      </rPr>
      <t>(</t>
    </r>
    <r>
      <rPr>
        <i/>
        <sz val="10"/>
        <color theme="1"/>
        <rFont val="Arial"/>
        <family val="2"/>
      </rPr>
      <t>hardware</t>
    </r>
    <r>
      <rPr>
        <sz val="10"/>
        <color theme="1"/>
        <rFont val="Arial"/>
        <family val="2"/>
      </rPr>
      <t xml:space="preserve">, </t>
    </r>
    <r>
      <rPr>
        <i/>
        <sz val="10"/>
        <color theme="1"/>
        <rFont val="Arial"/>
        <family val="2"/>
      </rPr>
      <t>software</t>
    </r>
    <r>
      <rPr>
        <sz val="10"/>
        <color theme="1"/>
        <rFont val="Arial"/>
        <family val="2"/>
      </rPr>
      <t xml:space="preserve">, </t>
    </r>
    <r>
      <rPr>
        <i/>
        <sz val="10"/>
        <color theme="1"/>
        <rFont val="Arial"/>
        <family val="2"/>
      </rPr>
      <t>e-learning,</t>
    </r>
    <r>
      <rPr>
        <sz val="10"/>
        <color theme="1"/>
        <rFont val="Arial"/>
        <family val="2"/>
      </rPr>
      <t xml:space="preserve"> akses </t>
    </r>
    <r>
      <rPr>
        <i/>
        <sz val="10"/>
        <color theme="1"/>
        <rFont val="Arial"/>
        <family val="2"/>
      </rPr>
      <t>on-line</t>
    </r>
    <r>
      <rPr>
        <sz val="10"/>
        <color theme="1"/>
        <rFont val="Arial"/>
        <family val="2"/>
      </rPr>
      <t xml:space="preserve"> ke perpustakaan, dll.)</t>
    </r>
  </si>
  <si>
    <t>6.5.2  Aksesibilitas data dalam sistem informasi</t>
  </si>
  <si>
    <t>7.1  Produktivitas dan mutu hasil penelitian dosen dalam kegiatan penelitian, pelayanan/pengabdian kepada masyarakat, dan kerjasama, dan keterlibatan mahasiswa dalam kegiatan tersebut.</t>
  </si>
  <si>
    <t>7.1.1  Jumlah penelitian yang sesuai dengan bidang keilmuan PS, yang dilakukan oleh dosen tetap yang bidang keahliannya sama dengan PS selama 3 tahun.</t>
  </si>
  <si>
    <r>
      <t>n</t>
    </r>
    <r>
      <rPr>
        <vertAlign val="subscript"/>
        <sz val="10"/>
        <color theme="1"/>
        <rFont val="Arial"/>
        <family val="2"/>
      </rPr>
      <t xml:space="preserve">a  </t>
    </r>
    <r>
      <rPr>
        <sz val="10"/>
        <color theme="1"/>
        <rFont val="Arial"/>
        <family val="2"/>
      </rPr>
      <t>=</t>
    </r>
    <r>
      <rPr>
        <vertAlign val="subscript"/>
        <sz val="10"/>
        <color theme="1"/>
        <rFont val="Arial"/>
        <family val="2"/>
      </rPr>
      <t xml:space="preserve">  </t>
    </r>
    <r>
      <rPr>
        <sz val="10"/>
        <color theme="1"/>
        <rFont val="Arial"/>
        <family val="2"/>
      </rPr>
      <t>Jumlah penelitian dengan biaya luar negeri yang sesuai bidang ilmu</t>
    </r>
  </si>
  <si>
    <r>
      <t>n</t>
    </r>
    <r>
      <rPr>
        <vertAlign val="subscript"/>
        <sz val="10"/>
        <color theme="1"/>
        <rFont val="Arial"/>
        <family val="2"/>
      </rPr>
      <t xml:space="preserve">b  </t>
    </r>
    <r>
      <rPr>
        <sz val="10"/>
        <color theme="1"/>
        <rFont val="Arial"/>
        <family val="2"/>
      </rPr>
      <t>=</t>
    </r>
    <r>
      <rPr>
        <vertAlign val="subscript"/>
        <sz val="10"/>
        <color theme="1"/>
        <rFont val="Arial"/>
        <family val="2"/>
      </rPr>
      <t xml:space="preserve">  </t>
    </r>
    <r>
      <rPr>
        <sz val="10"/>
        <color theme="1"/>
        <rFont val="Arial"/>
        <family val="2"/>
      </rPr>
      <t>Jumlah penelitian dengan biaya dari Depdiknas dan institusi dalam negeri di luar Depdiknas yang sesuai bidang ilmu</t>
    </r>
  </si>
  <si>
    <r>
      <t>n</t>
    </r>
    <r>
      <rPr>
        <vertAlign val="subscript"/>
        <sz val="10"/>
        <color theme="1"/>
        <rFont val="Arial"/>
        <family val="2"/>
      </rPr>
      <t xml:space="preserve">c  </t>
    </r>
    <r>
      <rPr>
        <sz val="10"/>
        <color theme="1"/>
        <rFont val="Arial"/>
        <family val="2"/>
      </rPr>
      <t>=  Jumlah penelitian dengan biaya dari PT/sendiri yang sesuai bidang ilmu</t>
    </r>
  </si>
  <si>
    <t>f   =  Jumlah dosen tetap yang bidang keahliannya sesuai dengan PS</t>
  </si>
  <si>
    <t>Nilai kasar =</t>
  </si>
  <si>
    <t>7.1.2 Jumlah artikel ilmiah yang dihasilkan oleh dosen tetap yang bidang keahliannya sama dengan PS selama 3 tahun</t>
  </si>
  <si>
    <r>
      <t>n</t>
    </r>
    <r>
      <rPr>
        <vertAlign val="subscript"/>
        <sz val="10"/>
        <color theme="1"/>
        <rFont val="Arial"/>
        <family val="2"/>
      </rPr>
      <t xml:space="preserve">a </t>
    </r>
    <r>
      <rPr>
        <sz val="10"/>
        <color theme="1"/>
        <rFont val="Arial"/>
        <family val="2"/>
      </rPr>
      <t xml:space="preserve">= </t>
    </r>
    <r>
      <rPr>
        <vertAlign val="subscript"/>
        <sz val="10"/>
        <color theme="1"/>
        <rFont val="Arial"/>
        <family val="2"/>
      </rPr>
      <t xml:space="preserve">  </t>
    </r>
    <r>
      <rPr>
        <sz val="10"/>
        <color theme="1"/>
        <rFont val="Arial"/>
        <family val="2"/>
      </rPr>
      <t>Jumlah artikel ilmiah tingkat internasional  yang sesuai bidang ilmu</t>
    </r>
  </si>
  <si>
    <r>
      <t>n</t>
    </r>
    <r>
      <rPr>
        <vertAlign val="subscript"/>
        <sz val="10"/>
        <color theme="1"/>
        <rFont val="Arial"/>
        <family val="2"/>
      </rPr>
      <t xml:space="preserve">b </t>
    </r>
    <r>
      <rPr>
        <sz val="10"/>
        <color theme="1"/>
        <rFont val="Arial"/>
        <family val="2"/>
      </rPr>
      <t xml:space="preserve">= </t>
    </r>
    <r>
      <rPr>
        <vertAlign val="subscript"/>
        <sz val="10"/>
        <color theme="1"/>
        <rFont val="Arial"/>
        <family val="2"/>
      </rPr>
      <t xml:space="preserve">  </t>
    </r>
    <r>
      <rPr>
        <sz val="10"/>
        <color theme="1"/>
        <rFont val="Arial"/>
        <family val="2"/>
      </rPr>
      <t>Jumlah artikel tingkat nasional atau buku yang sesuai bidang ilmu</t>
    </r>
  </si>
  <si>
    <r>
      <t>n</t>
    </r>
    <r>
      <rPr>
        <vertAlign val="subscript"/>
        <sz val="10"/>
        <color theme="1"/>
        <rFont val="Arial"/>
        <family val="2"/>
      </rPr>
      <t xml:space="preserve">c </t>
    </r>
    <r>
      <rPr>
        <sz val="10"/>
        <color theme="1"/>
        <rFont val="Arial"/>
        <family val="2"/>
      </rPr>
      <t>=   Jumlah karya ilmiah (artikel dalam jurnal yang belum terakreditasi Dikti, jurnal ilmiah populer, koran, diktat) yang sesuai bidang ilmu</t>
    </r>
  </si>
  <si>
    <t>f  =  Jumlah dosen tetap yang bidang keahliannya sesuai dengan PS</t>
  </si>
  <si>
    <r>
      <t xml:space="preserve">7.1.3  </t>
    </r>
    <r>
      <rPr>
        <sz val="10"/>
        <color theme="1"/>
        <rFont val="Arial"/>
        <family val="2"/>
      </rPr>
      <t>Karya-karya PS/institusi yang telah memperoleh perlindungan Hak atas Kekayaan Intelektual (Paten/HaKI) atau karya yang mendapat pengakuan/penghargaan dari lembaga nasional/internasional.</t>
    </r>
  </si>
  <si>
    <t>7.2  Kegiatan pelayanan/pengabdian kepada masyarakat dosen dan mahasiswa program studi yang bermanfaat bagi pemangku kepentingan (kerjasama, karya, penelitian, dan pemanfaatan jasa/produk kepakaran).</t>
  </si>
  <si>
    <r>
      <t xml:space="preserve">7.2.1  </t>
    </r>
    <r>
      <rPr>
        <sz val="10"/>
        <color theme="1"/>
        <rFont val="Arial"/>
        <family val="2"/>
      </rPr>
      <t>Jumlah kegiatan pelayanan/pengabdian kepada masyarakat (PkM) yang dilakukan oleh dosen tetap yang bidang keahliannya sama dengan PS selama tiga tahun.</t>
    </r>
  </si>
  <si>
    <r>
      <t>n</t>
    </r>
    <r>
      <rPr>
        <vertAlign val="subscript"/>
        <sz val="10"/>
        <color theme="1"/>
        <rFont val="Arial"/>
        <family val="2"/>
      </rPr>
      <t xml:space="preserve">a </t>
    </r>
    <r>
      <rPr>
        <sz val="10"/>
        <color theme="1"/>
        <rFont val="Arial"/>
        <family val="2"/>
      </rPr>
      <t>=   Jumlah kegiatan PkM dengan biaya luar negeri yang sesuai bidang ilmu</t>
    </r>
  </si>
  <si>
    <r>
      <t>n</t>
    </r>
    <r>
      <rPr>
        <vertAlign val="subscript"/>
        <sz val="10"/>
        <color theme="1"/>
        <rFont val="Arial"/>
        <family val="2"/>
      </rPr>
      <t xml:space="preserve">b </t>
    </r>
    <r>
      <rPr>
        <sz val="10"/>
        <color theme="1"/>
        <rFont val="Arial"/>
        <family val="2"/>
      </rPr>
      <t xml:space="preserve">= </t>
    </r>
    <r>
      <rPr>
        <vertAlign val="subscript"/>
        <sz val="10"/>
        <color theme="1"/>
        <rFont val="Arial"/>
        <family val="2"/>
      </rPr>
      <t xml:space="preserve">  </t>
    </r>
    <r>
      <rPr>
        <sz val="10"/>
        <color theme="1"/>
        <rFont val="Arial"/>
        <family val="2"/>
      </rPr>
      <t>Jumlah kegiatan PkM dengan biaya dari Depdiknas dan institusi dalam negeri di luar Depdiknas yang sesuai bidang ilmu</t>
    </r>
  </si>
  <si>
    <r>
      <t>n</t>
    </r>
    <r>
      <rPr>
        <vertAlign val="subscript"/>
        <sz val="10"/>
        <color theme="1"/>
        <rFont val="Arial"/>
        <family val="2"/>
      </rPr>
      <t xml:space="preserve">c </t>
    </r>
    <r>
      <rPr>
        <sz val="10"/>
        <color theme="1"/>
        <rFont val="Arial"/>
        <family val="2"/>
      </rPr>
      <t>=   Jumlah kegiatan PkM dengan biaya dari PT/sendiri yang sesuai bidang ilmu</t>
    </r>
  </si>
  <si>
    <r>
      <t xml:space="preserve">7.2.2  </t>
    </r>
    <r>
      <rPr>
        <sz val="10"/>
        <color theme="1"/>
        <rFont val="Arial"/>
        <family val="2"/>
      </rPr>
      <t>Keterlibatan mahasiswa dalam kegiatan pelayanan/pengabdian kepada masyarakat</t>
    </r>
  </si>
  <si>
    <t>7.3  Jumlah dan mutu kerjasama yang efektif yang mendukung pelaksanaan misi program studi dan institusi dan dampak kerjasama untuk penyelenggaraan dan pengembangan program studi</t>
  </si>
  <si>
    <r>
      <t xml:space="preserve">7.3.1  </t>
    </r>
    <r>
      <rPr>
        <sz val="10"/>
        <color theme="1"/>
        <rFont val="Arial"/>
        <family val="2"/>
      </rPr>
      <t>Kegiatan kerjasama dengan instansi di dalam negeri dalam tiga tahun terakhir</t>
    </r>
  </si>
  <si>
    <r>
      <t xml:space="preserve">7.3.2  </t>
    </r>
    <r>
      <rPr>
        <sz val="10"/>
        <color theme="1"/>
        <rFont val="Arial"/>
        <family val="2"/>
      </rPr>
      <t>Kegiatan kerjasama dengan instansi di luar negeri dalam tiga tahun terakhir.</t>
    </r>
  </si>
  <si>
    <t xml:space="preserve">BORANG UNIT PENGELOLA </t>
  </si>
  <si>
    <t>YANG DI ISI HANYA SEL YANG BERWARNA KUNING</t>
  </si>
  <si>
    <t>NO.</t>
  </si>
  <si>
    <t>BUTIR</t>
  </si>
  <si>
    <t>KETERANGAN</t>
  </si>
  <si>
    <t>NILAI</t>
  </si>
  <si>
    <t>INFORMASI DARI BORANG 
UNIT PENGELOLA</t>
  </si>
  <si>
    <r>
      <t xml:space="preserve">Kejelasan,  kerealistikan, dan keterkaitan antara </t>
    </r>
    <r>
      <rPr>
        <sz val="10"/>
        <rFont val="Arial"/>
        <family val="2"/>
      </rPr>
      <t>visi, misi, tujuan, dan sasaran unit pengelola.</t>
    </r>
  </si>
  <si>
    <t xml:space="preserve">Skor kejelasan (1 - 4) </t>
  </si>
  <si>
    <t>Skor kerealistikan (1 - 4)</t>
  </si>
  <si>
    <t>Skor keterkaitan (1 - 4)</t>
  </si>
  <si>
    <t>Skor akhir</t>
  </si>
  <si>
    <t>Skor kejelasan dan kerealistikan tahapan waktu (1 - 4)</t>
  </si>
  <si>
    <t>Skor kelengkapan dokumen (1 - 4)</t>
  </si>
  <si>
    <r>
      <t xml:space="preserve">Tingkat pemahaman </t>
    </r>
    <r>
      <rPr>
        <sz val="10"/>
        <rFont val="Arial"/>
        <family val="2"/>
      </rPr>
      <t>sivitas akademika  dan tenaga kependidikan terhadap visi, misi, tujuan dan sasaran unit pengelola program studi.
Skor</t>
    </r>
  </si>
  <si>
    <t>Tidak dipahami oleh seluruh sivitas akademika dan tenaga kependidikan.</t>
  </si>
  <si>
    <t>Kurang dipahami oleh  sivitas akademika  dan tenaga kependidikan.</t>
  </si>
  <si>
    <t>Dipahami dengan baik oleh sebagian  sivitas akademika dan tenaga kependidikan.</t>
  </si>
  <si>
    <t xml:space="preserve">Dipahami dengan baik oleh seluruh sivitas akademika  dan tenaga kependidikan. </t>
  </si>
  <si>
    <t>Tata pamong menjamin terwujudnya visi, terlaksananya misi, tercapainya tujuan, berhasilnya strategi yang digunakan secara kredibel, transparan, akuntabel, bertanggung jawab, dan adil.</t>
  </si>
  <si>
    <r>
      <rPr>
        <sz val="10"/>
        <rFont val="Arial"/>
        <family val="2"/>
      </rPr>
      <t xml:space="preserve">Sistem pengelolaan fungsional dan operasional unit pengelola program studi diploma mencakup: </t>
    </r>
    <r>
      <rPr>
        <i/>
        <sz val="10"/>
        <rFont val="Arial"/>
        <family val="2"/>
      </rPr>
      <t>planning, organizing</t>
    </r>
    <r>
      <rPr>
        <sz val="10"/>
        <rFont val="Arial"/>
        <family val="2"/>
      </rPr>
      <t xml:space="preserve">, </t>
    </r>
    <r>
      <rPr>
        <i/>
        <sz val="10"/>
        <rFont val="Arial"/>
        <family val="2"/>
      </rPr>
      <t xml:space="preserve">staffing, leading, controlling, internal and external operation </t>
    </r>
    <r>
      <rPr>
        <sz val="10"/>
        <rFont val="Arial"/>
        <family val="2"/>
      </rPr>
      <t>yang efektif dilaksanakan.</t>
    </r>
  </si>
  <si>
    <r>
      <t>Ketersediaan dokumen tentang penerimaan mahasiswa baru dan pelaksanaannya. Ada 5 (lima) unsur dalam dokumen tsb.
(</t>
    </r>
    <r>
      <rPr>
        <b/>
        <sz val="10"/>
        <color indexed="8"/>
        <rFont val="Arial"/>
        <family val="2"/>
      </rPr>
      <t>Tidak ada skor 1 atau 3</t>
    </r>
    <r>
      <rPr>
        <sz val="10"/>
        <color indexed="8"/>
        <rFont val="Arial"/>
        <family val="2"/>
      </rPr>
      <t>)</t>
    </r>
  </si>
  <si>
    <t>Rasio mahasiswa reguler dan transfer.</t>
  </si>
  <si>
    <t>TMBT</t>
  </si>
  <si>
    <t>Total mahasiswa baru transfer</t>
  </si>
  <si>
    <t>TMB</t>
  </si>
  <si>
    <t>Total mahasiswa baru bukan transfer</t>
  </si>
  <si>
    <t>RM</t>
  </si>
  <si>
    <t>RM=TMBT/TMB</t>
  </si>
  <si>
    <t>A = Jumlah skor rata-rata masa studi untuk semua program studi diploma sejenjang.</t>
  </si>
  <si>
    <t>B = Jumlah program studi diploma sejenjang.</t>
  </si>
  <si>
    <t>Rasio = A/B, Kisaran nilai 0 - 4.</t>
  </si>
  <si>
    <t>A = Jumlah skor rata-rata IPK lulusan untuk semua program studi diploma.</t>
  </si>
  <si>
    <t>B = Jumlah program studi diploma.</t>
  </si>
  <si>
    <t>Skor (Kisaran nilai 2 - 4)</t>
  </si>
  <si>
    <t>Dosen yang tugas belajar. Jika persentase dosen berpendidikan minimal S2 &gt; 90%, maka skor butir ini = 4.</t>
  </si>
  <si>
    <t>Jumlah dosen tetap berpendidikan &lt;= S1</t>
  </si>
  <si>
    <t>Jumlah dosen tetap berpendidikan S2</t>
  </si>
  <si>
    <t>Jumlah dosen tetap berpendidikan S3</t>
  </si>
  <si>
    <t>Jumlah total dosen tetap</t>
  </si>
  <si>
    <t>Persentase dosen berpendidikan S2 atau S3 (dalam %)</t>
  </si>
  <si>
    <t>N2</t>
  </si>
  <si>
    <t>Jumlah dosen tugas belajar S2/Sp-1</t>
  </si>
  <si>
    <t>N3</t>
  </si>
  <si>
    <t>Jumlah dosen tugas belajar S3/Sp-2</t>
  </si>
  <si>
    <t>N</t>
  </si>
  <si>
    <t>Banyaknya program studi</t>
  </si>
  <si>
    <t>SD</t>
  </si>
  <si>
    <t>SD=(0.75 N2 + 1.25 N3)/N</t>
  </si>
  <si>
    <t>Upaya unit pengelola program studi diploma dalam mengembangkan tenaga dosen tetap. Jika persentase dosen berpendidikan minimal S2 &gt; 90%, maka skor butir ini otomatis = 4.</t>
  </si>
  <si>
    <r>
      <t xml:space="preserve">Bentuk dukungan unit pengelola program studi diploma dalam </t>
    </r>
    <r>
      <rPr>
        <sz val="10"/>
        <rFont val="Arial"/>
        <family val="2"/>
      </rPr>
      <t>penyusunan, implementasi, dan pengembangan kurikulum antara lain dalam bentuk penyediaan fasilitas, pengorganisasian kegiatan, serta bantuan pendanaan.</t>
    </r>
  </si>
  <si>
    <t>Skor kebijakan tentang suasana akademik (1 - 4)</t>
  </si>
  <si>
    <t>Skor penyediaan sarana dan prasarana (1 - 4)</t>
  </si>
  <si>
    <t>Skor dukungan dana institusi (1 - 4)</t>
  </si>
  <si>
    <t>Skor pengembangan perilaku kecendekiawan (1 - 4)</t>
  </si>
  <si>
    <t>Rata-rata skor</t>
  </si>
  <si>
    <t>Total penerimaan dana dari mahasiswa</t>
  </si>
  <si>
    <t>juta</t>
  </si>
  <si>
    <t>Total penerimaan dana</t>
  </si>
  <si>
    <t>Rasio</t>
  </si>
  <si>
    <t>Persentase...</t>
  </si>
  <si>
    <t>NDOP</t>
  </si>
  <si>
    <t xml:space="preserve">Jumlah dana operasional per mhs per tahun </t>
  </si>
  <si>
    <t>Dana ...</t>
  </si>
  <si>
    <t>NDPD</t>
  </si>
  <si>
    <t>Rata-rata dana penelitian per dosen tetap per tahun</t>
  </si>
  <si>
    <t>Dana...</t>
  </si>
  <si>
    <t>NDPKM</t>
  </si>
  <si>
    <t>Rata-rata dana PkM per dosen per tahun</t>
  </si>
  <si>
    <t>Kecukupan...</t>
  </si>
  <si>
    <t>Upaya pengembangan dana oleh Fakultas/Sekolah Tinggi.</t>
  </si>
  <si>
    <t>Upaya...</t>
  </si>
  <si>
    <t>Investasi...</t>
  </si>
  <si>
    <t>Rencana...</t>
  </si>
  <si>
    <r>
      <t>Mutu dan kecukupan akses p</t>
    </r>
    <r>
      <rPr>
        <sz val="10"/>
        <rFont val="Arial"/>
        <family val="2"/>
      </rPr>
      <t>rasarana yang dikelola unit pengelola program studi diploma untuk keperluan PS.</t>
    </r>
  </si>
  <si>
    <t>Mutu...</t>
  </si>
  <si>
    <r>
      <t xml:space="preserve">Pemanfaatan teknologi komunikasi dan informasi  untuk </t>
    </r>
    <r>
      <rPr>
        <sz val="10"/>
        <rFont val="Arial"/>
        <family val="2"/>
      </rPr>
      <t xml:space="preserve">proses pembelajaran, termasuk </t>
    </r>
    <r>
      <rPr>
        <i/>
        <sz val="10"/>
        <rFont val="Arial"/>
        <family val="2"/>
      </rPr>
      <t>e-learning.</t>
    </r>
    <r>
      <rPr>
        <sz val="10"/>
        <rFont val="Arial"/>
        <family val="2"/>
      </rPr>
      <t xml:space="preserve"> </t>
    </r>
  </si>
  <si>
    <t>Pemanfaatan...</t>
  </si>
  <si>
    <r>
      <t xml:space="preserve">Pemanfaatan teknologi komunikasi dan informasi  untuk </t>
    </r>
    <r>
      <rPr>
        <sz val="10"/>
        <rFont val="Arial"/>
        <family val="2"/>
      </rPr>
      <t xml:space="preserve">penyelenggaraan administrasi (misalkan SIAKAD, SIMKEU, SIMAWA, SIMFA, SIMPEG). </t>
    </r>
  </si>
  <si>
    <r>
      <t xml:space="preserve">Pemanfaatan teknologi komunikasi dan informasi  untuk </t>
    </r>
    <r>
      <rPr>
        <sz val="10"/>
        <rFont val="Arial"/>
        <family val="2"/>
      </rPr>
      <t xml:space="preserve">proses pengambilan keputusan dalam pengembangan institusi (antara lain informasi berupa deskripsi, ringkasan, dan trend berbagai jenis data).  </t>
    </r>
  </si>
  <si>
    <t>Aksesibilitas...</t>
  </si>
  <si>
    <t>Banyak tanda √ pada kolom (2)--&gt; Kisaran 0-12</t>
  </si>
  <si>
    <t>Banyak tanda √ pada kolom (3)--&gt; Kisaran 0-12</t>
  </si>
  <si>
    <t>Banyak tanda √ pada kolom (4)--&gt; Kisaran 0-12</t>
  </si>
  <si>
    <t>Banyak tanda √ pada kolom (5)--&gt; Kisaran 0-12</t>
  </si>
  <si>
    <t>Skor</t>
  </si>
  <si>
    <r>
      <rPr>
        <b/>
        <sz val="10"/>
        <color indexed="30"/>
        <rFont val="Arial"/>
        <family val="2"/>
      </rPr>
      <t xml:space="preserve">Catatan: Tiap baris hanya ada satu tanda </t>
    </r>
    <r>
      <rPr>
        <sz val="10"/>
        <color indexed="30"/>
        <rFont val="Arial"/>
        <family val="2"/>
      </rPr>
      <t>√.</t>
    </r>
  </si>
  <si>
    <t>Media...</t>
  </si>
  <si>
    <t>Banyaknya...</t>
  </si>
  <si>
    <t>A = Jumlah skor seluruh program studi diploma sejenjang</t>
  </si>
  <si>
    <t>B = Jumlah program studi diploma sejenjang</t>
  </si>
  <si>
    <t>Rasio = A/B</t>
  </si>
  <si>
    <t>Besar...</t>
  </si>
  <si>
    <t>Jelaskan di sini upaya tsb ...</t>
  </si>
  <si>
    <t>Tidak ada upaya.</t>
  </si>
  <si>
    <t>Ada upaya, tapi tidak efektif (jumlah penelitian berkurang dari tahun sebelumnya).</t>
  </si>
  <si>
    <t>Ada upaya, tetapi tidak cukup untuk meningkatkan jumlah penelitian.</t>
  </si>
  <si>
    <t>Ada upaya  dan efektif   meningkatkan jumlah penelitian, namun dengan dana yang relatif terbatas.</t>
  </si>
  <si>
    <t>Ada upaya dan sangat efektif meningkatkan jumlah penelitian dan dananya.</t>
  </si>
  <si>
    <t xml:space="preserve">Banyak kegiatan PkM dosen tetap seluruh program studi diploma sejenjang.
</t>
  </si>
  <si>
    <t>Jelaskan di sini ttg kegiatan tsb ...</t>
  </si>
  <si>
    <t>Catatan:
Perhitungan skor untuk masing-masing  program studi diploma:
RPkM =  rata-rata banyaknya kegiatan PkM per dosen per 3 tahun.
0:  Tidak ada kegiatan PkM
1:  0 &lt; RPkM &lt; 0.5
2:  0.5 ≤ RPkM &lt; 1.0
3:  1.0 ≤ RPkM &lt; 2.0
4:  RPkM ≥  2</t>
  </si>
  <si>
    <t xml:space="preserve">Besar dana PkM dosen tetap seluruh program studi diploma sejenjang.
</t>
  </si>
  <si>
    <t>Jelaskan di sini ttg dana tsb ...</t>
  </si>
  <si>
    <t>Catatan:
Perhitungan skor untuk masing-masing  program studi diploma:
0:  Tidak ada dana PkM
1:  Ada dana PkM, namun rata-rata dana PkM &lt; Rp 1 juta per dosen
     tetap per tahun.
2:  Rata-rata dana PkM lebih atau sama dengan Rp 1 juta tapi
     kurang dari  Rp 2.5 juta per dosen tetap per tahun.
3:  Rata-rata dana PkM lebih atau sama dengan Rp 2.5  juta tapi
     kurang dari Rp 4 juta per dosen tetap per tahun. 
4:  Rata-rata dana PkM lebih atau sama dengan Rp 4 juta per dosen
     tetap per tahun.</t>
  </si>
  <si>
    <t>Upaya pengembangan kegiatan PkM oleh unit pengelola program studi diploma.
Skor</t>
  </si>
  <si>
    <t>Jelaskan di sini upaya pengembangan tsb …</t>
  </si>
  <si>
    <t>Ada upaya, tapi tidak efektif (jumlah kegiatan PkM berkurang dari tahun sebelumnya).</t>
  </si>
  <si>
    <t>Ada upaya, tetapi tidak cukup untuk meningkatkan jumlah kegiatan PkM.</t>
  </si>
  <si>
    <t>Ada upaya  dan efektif   meningkatkan jumlah kegiatan PkM, namun dengan dana yang relatif terbatas.</t>
  </si>
  <si>
    <t>Ada upaya dan sangat efektif meningkatkan jumlah kegiatan PkM dan dananya.</t>
  </si>
  <si>
    <t xml:space="preserve">Kegiatan kerjasama dengan instansi di dalam negeri dalam tiga tahun terakhir.
Catatan:
Tingkat kecukupan bergantung pada jumlah dosen tetap unit pengelola program studi diploma.
Skor
</t>
  </si>
  <si>
    <t>Jelaskan di sini kegiatan kerjasama tsb …</t>
  </si>
  <si>
    <t>Belum ada atau tidak ada rencana kerjasama</t>
  </si>
  <si>
    <t>Sangat sedikit kerjasama dengan lembaga di dalam negeri.</t>
  </si>
  <si>
    <t xml:space="preserve">Ada kerjasama dengan institusi di dalam negeri, kurang dalam jumlah. Sebagian besar relevan dengan bidang keahlian PS. </t>
  </si>
  <si>
    <t>Ada kerjasama dengan institusi di dalam negeri, cukup dalam jumlah.  Sebagian besar relevan dengan bidang keahlian PS.</t>
  </si>
  <si>
    <t>Ada kerjasama dengan institusi di dalam negeri, banyak dalam jumlah. Semuanya  relevan dengan bidang keahlian PS.</t>
  </si>
  <si>
    <t xml:space="preserve">Kegiatan kerjasama dengan instansi di luar negeri dalam tiga tahun terakhir.
Catatan;
Tingkat kecukupan bergantung pada jumlah dosen tetap  unit pengelola program studi diploma.
Skor
</t>
  </si>
  <si>
    <t>Jelaskan di sini kegiatan kerjasama tsb ...</t>
  </si>
  <si>
    <t>Sangat sedikit kerjasama dengan lembaga di luar negeri.</t>
  </si>
  <si>
    <t>Ada kerjasama dengan institusi di luar negeri, kurang dalam jumlah. Sebagian besar relevan dengan bidang keahlian PS.</t>
  </si>
  <si>
    <t>Ada kerjasama dengan institusi di luar negeri, cukup dalam jumlah.  Sebagian besar relevan dengan bidang keahlian PS.</t>
  </si>
  <si>
    <t>Ada kerjasama dengan institusi di luar negeri, banyak dalam jumlah.  Semuanya  relevan dengan bidang keahlian PS.</t>
  </si>
  <si>
    <t>Isi sesuai dengan isian pada borang</t>
  </si>
  <si>
    <t>Diploma III</t>
  </si>
  <si>
    <t xml:space="preserve">Total jumlah Pertemuan yang Direncanakan </t>
  </si>
  <si>
    <t xml:space="preserve">Total jumlah Pertemuan yang Dilaksanakan </t>
  </si>
  <si>
    <t>Jumlah dosen tetap (sesuai dan tidak sesuai bidang PS)</t>
  </si>
  <si>
    <t>a : Sangat baik (Kisaran nilai 0 - 700%)</t>
  </si>
  <si>
    <t>b : Baik (Kisaran nilai 0 - 700%)</t>
  </si>
  <si>
    <t>c : Cukup (Kisaran nilai 0 - 700%)</t>
  </si>
  <si>
    <t>d : Kurang (Kisaran nilai 0 - 700%)</t>
  </si>
  <si>
    <t>Skor Akhir (a + b + c + d paling besar = 700%)</t>
  </si>
  <si>
    <t>D III</t>
  </si>
  <si>
    <t>Jumlah MK pada kolom 8 yg ada tanda V</t>
  </si>
  <si>
    <t>Jumlah MK wajib +  pilihan</t>
  </si>
  <si>
    <t>Persentase MK dengan tugas &gt;=20%</t>
  </si>
  <si>
    <t>Jumlah MK dengan SAP</t>
  </si>
  <si>
    <t>Jumlah seluruh MK</t>
  </si>
  <si>
    <t>Presentase MK dengan SAP</t>
  </si>
  <si>
    <r>
      <t xml:space="preserve">Banyak tanda </t>
    </r>
    <r>
      <rPr>
        <sz val="10"/>
        <color indexed="8"/>
        <rFont val="Arial"/>
        <family val="2"/>
      </rPr>
      <t>√ pada kolom (3)--&gt; Kisaran 0-11</t>
    </r>
  </si>
  <si>
    <t>Banyak tanda √ pada kolom (4)--&gt; Kisaran 0-11</t>
  </si>
  <si>
    <r>
      <t xml:space="preserve">Banyak tanda </t>
    </r>
    <r>
      <rPr>
        <sz val="10"/>
        <color indexed="8"/>
        <rFont val="Arial"/>
        <family val="2"/>
      </rPr>
      <t>√ pada kolom (5)--&gt; Kisaran 0-11</t>
    </r>
  </si>
  <si>
    <t>Banyak tanda √ pada kolom (6)--&gt; Kisaran 0-11</t>
  </si>
  <si>
    <t>BORANG PRODI</t>
  </si>
  <si>
    <t>Skor Akhir</t>
  </si>
  <si>
    <t>Catatan: Butir ini memerlukan syarat minimum (6 orang).</t>
  </si>
  <si>
    <t>Persentase dosen tetap yang menjadi anggota masyarakat bidang ilmu tingkat nasional atau internasional 
(dalam %, rentang nilai 0 - 100)</t>
  </si>
  <si>
    <t>Rata-rata dana pendidikan per tahun</t>
  </si>
  <si>
    <t>Rata-rata dana penelitian per tahun</t>
  </si>
  <si>
    <t>Rata-rata dana PkM per tahun</t>
  </si>
  <si>
    <t>Total dana tridarma per tahun</t>
  </si>
  <si>
    <t>Jumlah mahasiswa pada TS (Tabel 3.1.1)</t>
  </si>
  <si>
    <t>Dom</t>
  </si>
  <si>
    <t>Nilai untuk PS IPS</t>
  </si>
  <si>
    <t>Nilai untuk PS non IPS</t>
  </si>
  <si>
    <t>Rata-rata dana penelitian per dosen per tahun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</si>
</sst>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_(* #,##0.000_);_(* \(#,##0.000\);_(* &quot;-&quot;??_);_(@_)"/>
  </numFmts>
  <fonts count="55" x14ac:knownFonts="1">
    <font>
      <sz val="11"/>
      <color theme="1"/>
      <name val="Calibri"/>
      <family val="2"/>
      <scheme val="minor"/>
    </font>
    <font>
      <sz val="12"/>
      <color rgb="FF000000"/>
      <name val="Arial"/>
      <family val="2"/>
    </font>
    <font>
      <sz val="7"/>
      <color rgb="FF000000"/>
      <name val="Times New Roman"/>
      <family val="1"/>
    </font>
    <font>
      <b/>
      <sz val="12"/>
      <color theme="1"/>
      <name val="Arial"/>
      <family val="2"/>
    </font>
    <font>
      <b/>
      <sz val="12"/>
      <color rgb="FF000000"/>
      <name val="Arial"/>
      <family val="2"/>
    </font>
    <font>
      <b/>
      <sz val="12"/>
      <color theme="1"/>
      <name val="Arial Narrow"/>
      <family val="2"/>
    </font>
    <font>
      <sz val="12"/>
      <color theme="1"/>
      <name val="Arial Narrow"/>
      <family val="2"/>
    </font>
    <font>
      <i/>
      <sz val="12"/>
      <color theme="1"/>
      <name val="Arial Narrow"/>
      <family val="2"/>
    </font>
    <font>
      <sz val="11"/>
      <color rgb="FF000000"/>
      <name val="Arial Narrow"/>
      <family val="2"/>
    </font>
    <font>
      <b/>
      <sz val="10"/>
      <color theme="1"/>
      <name val="Arial"/>
      <family val="2"/>
    </font>
    <font>
      <sz val="10"/>
      <color rgb="FF000000"/>
      <name val="Arial"/>
      <family val="2"/>
    </font>
    <font>
      <sz val="10"/>
      <color theme="1"/>
      <name val="Arial"/>
      <family val="2"/>
    </font>
    <font>
      <sz val="10"/>
      <color rgb="FF0D0D0D"/>
      <name val="Arial"/>
      <family val="2"/>
    </font>
    <font>
      <i/>
      <sz val="10"/>
      <color theme="1"/>
      <name val="Arial"/>
      <family val="2"/>
    </font>
    <font>
      <vertAlign val="subscript"/>
      <sz val="10"/>
      <color theme="1"/>
      <name val="Arial"/>
      <family val="2"/>
    </font>
    <font>
      <vertAlign val="subscript"/>
      <sz val="10"/>
      <color rgb="FF000000"/>
      <name val="Arial"/>
      <family val="2"/>
    </font>
    <font>
      <sz val="11"/>
      <color rgb="FFFF0000"/>
      <name val="Calibri"/>
      <family val="2"/>
      <scheme val="minor"/>
    </font>
    <font>
      <sz val="11"/>
      <color rgb="FF000000"/>
      <name val="Calibri"/>
      <family val="2"/>
    </font>
    <font>
      <sz val="14"/>
      <color theme="1"/>
      <name val="Calibri"/>
      <family val="2"/>
      <scheme val="minor"/>
    </font>
    <font>
      <sz val="11"/>
      <name val="Arial"/>
      <family val="2"/>
    </font>
    <font>
      <b/>
      <sz val="10"/>
      <name val="Arial"/>
      <family val="2"/>
    </font>
    <font>
      <sz val="7"/>
      <color theme="1"/>
      <name val="Times New Roman"/>
      <family val="1"/>
    </font>
    <font>
      <i/>
      <sz val="10"/>
      <color rgb="FF000000"/>
      <name val="Arial"/>
      <family val="2"/>
    </font>
    <font>
      <b/>
      <sz val="10"/>
      <color rgb="FFC00000"/>
      <name val="Arial"/>
      <family val="2"/>
    </font>
    <font>
      <i/>
      <sz val="7"/>
      <color rgb="FF000000"/>
      <name val="Times New Roman"/>
      <family val="1"/>
    </font>
    <font>
      <sz val="9"/>
      <color indexed="81"/>
      <name val="Tahoma"/>
      <family val="2"/>
    </font>
    <font>
      <b/>
      <sz val="9"/>
      <color indexed="81"/>
      <name val="Tahoma"/>
      <family val="2"/>
    </font>
    <font>
      <u/>
      <sz val="10"/>
      <color theme="1"/>
      <name val="Arial"/>
      <family val="2"/>
    </font>
    <font>
      <sz val="10"/>
      <color theme="1"/>
      <name val="Symbol"/>
      <family val="1"/>
      <charset val="2"/>
    </font>
    <font>
      <sz val="10"/>
      <color rgb="FFC00000"/>
      <name val="Arial"/>
      <family val="2"/>
    </font>
    <font>
      <sz val="11"/>
      <name val="Calibri"/>
      <family val="2"/>
      <scheme val="minor"/>
    </font>
    <font>
      <sz val="10"/>
      <color theme="1"/>
      <name val="Wingdings"/>
      <charset val="2"/>
    </font>
    <font>
      <b/>
      <sz val="10"/>
      <color theme="1"/>
      <name val="Arial Narrow"/>
      <family val="2"/>
    </font>
    <font>
      <vertAlign val="superscript"/>
      <sz val="10"/>
      <color theme="1"/>
      <name val="Arial"/>
      <family val="2"/>
    </font>
    <font>
      <sz val="11"/>
      <color theme="1"/>
      <name val="Calibri"/>
      <family val="2"/>
      <scheme val="minor"/>
    </font>
    <font>
      <b/>
      <sz val="20"/>
      <name val="Calibri"/>
      <family val="2"/>
    </font>
    <font>
      <b/>
      <sz val="14"/>
      <name val="Calibri"/>
      <family val="2"/>
    </font>
    <font>
      <b/>
      <sz val="14"/>
      <color indexed="9"/>
      <name val="Calibri"/>
      <family val="2"/>
    </font>
    <font>
      <sz val="14"/>
      <color indexed="8"/>
      <name val="Calibri"/>
      <family val="2"/>
    </font>
    <font>
      <sz val="10"/>
      <color indexed="8"/>
      <name val="Arial"/>
      <family val="2"/>
    </font>
    <font>
      <sz val="10"/>
      <name val="Arial"/>
      <family val="2"/>
    </font>
    <font>
      <i/>
      <sz val="10"/>
      <name val="Arial"/>
      <family val="2"/>
    </font>
    <font>
      <b/>
      <sz val="10"/>
      <color indexed="8"/>
      <name val="Arial"/>
      <family val="2"/>
    </font>
    <font>
      <sz val="10"/>
      <color indexed="8"/>
      <name val="Calibri"/>
      <family val="2"/>
    </font>
    <font>
      <b/>
      <sz val="10"/>
      <color indexed="30"/>
      <name val="Arial"/>
      <family val="2"/>
    </font>
    <font>
      <sz val="10"/>
      <color indexed="30"/>
      <name val="Arial"/>
      <family val="2"/>
    </font>
    <font>
      <b/>
      <sz val="10"/>
      <color indexed="10"/>
      <name val="Arial"/>
      <family val="2"/>
    </font>
    <font>
      <sz val="14"/>
      <color indexed="8"/>
      <name val="Arial"/>
      <family val="2"/>
    </font>
    <font>
      <sz val="12"/>
      <color indexed="8"/>
      <name val="Arial"/>
      <family val="2"/>
    </font>
    <font>
      <b/>
      <sz val="10"/>
      <color indexed="81"/>
      <name val="Arial"/>
      <family val="2"/>
    </font>
    <font>
      <sz val="10"/>
      <color indexed="81"/>
      <name val="Arial"/>
      <family val="2"/>
    </font>
    <font>
      <b/>
      <sz val="10"/>
      <color indexed="81"/>
      <name val="Tahoma"/>
      <family val="2"/>
    </font>
    <font>
      <sz val="10"/>
      <color indexed="81"/>
      <name val="Tahoma"/>
      <family val="2"/>
    </font>
    <font>
      <sz val="9"/>
      <color indexed="81"/>
      <name val="Tahoma"/>
      <charset val="1"/>
    </font>
    <font>
      <b/>
      <sz val="9"/>
      <color indexed="81"/>
      <name val="Tahoma"/>
      <charset val="1"/>
    </font>
  </fonts>
  <fills count="11">
    <fill>
      <patternFill patternType="none"/>
    </fill>
    <fill>
      <patternFill patternType="gray125"/>
    </fill>
    <fill>
      <patternFill patternType="solid">
        <fgColor theme="0" tint="-0.249977111117893"/>
        <bgColor indexed="64"/>
      </patternFill>
    </fill>
    <fill>
      <patternFill patternType="darkUp">
        <bgColor rgb="FFB4B4B4"/>
      </patternFill>
    </fill>
    <fill>
      <patternFill patternType="solid">
        <fgColor rgb="FFFFFF00"/>
        <bgColor indexed="64"/>
      </patternFill>
    </fill>
    <fill>
      <patternFill patternType="solid">
        <fgColor theme="0" tint="-0.14999847407452621"/>
        <bgColor indexed="64"/>
      </patternFill>
    </fill>
    <fill>
      <patternFill patternType="solid">
        <fgColor rgb="FF92D050"/>
        <bgColor indexed="64"/>
      </patternFill>
    </fill>
    <fill>
      <patternFill patternType="solid">
        <fgColor theme="3" tint="0.79998168889431442"/>
        <bgColor indexed="64"/>
      </patternFill>
    </fill>
    <fill>
      <patternFill patternType="solid">
        <fgColor indexed="43"/>
        <bgColor indexed="64"/>
      </patternFill>
    </fill>
    <fill>
      <patternFill patternType="solid">
        <fgColor theme="0"/>
        <bgColor indexed="64"/>
      </patternFill>
    </fill>
    <fill>
      <patternFill patternType="solid">
        <fgColor indexed="13"/>
        <bgColor indexed="64"/>
      </patternFill>
    </fill>
  </fills>
  <borders count="60">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top style="medium">
        <color indexed="64"/>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medium">
        <color indexed="64"/>
      </right>
      <top/>
      <bottom style="double">
        <color indexed="64"/>
      </bottom>
      <diagonal/>
    </border>
    <border>
      <left style="medium">
        <color indexed="64"/>
      </left>
      <right/>
      <top/>
      <bottom style="double">
        <color indexed="64"/>
      </bottom>
      <diagonal/>
    </border>
    <border>
      <left style="thin">
        <color indexed="64"/>
      </left>
      <right style="thin">
        <color indexed="64"/>
      </right>
      <top/>
      <bottom style="double">
        <color indexed="64"/>
      </bottom>
      <diagonal/>
    </border>
    <border>
      <left/>
      <right/>
      <top/>
      <bottom style="double">
        <color indexed="64"/>
      </bottom>
      <diagonal/>
    </border>
    <border>
      <left style="thin">
        <color indexed="64"/>
      </left>
      <right style="medium">
        <color indexed="64"/>
      </right>
      <top/>
      <bottom style="double">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3">
    <xf numFmtId="0" fontId="0" fillId="0" borderId="0"/>
    <xf numFmtId="9" fontId="34" fillId="0" borderId="0" applyFont="0" applyFill="0" applyBorder="0" applyAlignment="0" applyProtection="0"/>
    <xf numFmtId="43" fontId="34" fillId="0" borderId="0" applyFont="0" applyFill="0" applyBorder="0" applyAlignment="0" applyProtection="0"/>
  </cellStyleXfs>
  <cellXfs count="370">
    <xf numFmtId="0" fontId="0" fillId="0" borderId="0" xfId="0"/>
    <xf numFmtId="0" fontId="1" fillId="0" borderId="0" xfId="0" applyFont="1" applyAlignment="1">
      <alignment horizontal="justify" vertical="center"/>
    </xf>
    <xf numFmtId="0" fontId="1" fillId="0" borderId="0" xfId="0" applyFont="1" applyAlignment="1">
      <alignment horizontal="left" vertical="center"/>
    </xf>
    <xf numFmtId="0" fontId="3" fillId="0" borderId="0" xfId="0" applyFont="1" applyAlignment="1">
      <alignment horizontal="left" vertical="center"/>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4" fillId="0" borderId="3" xfId="0" applyFont="1" applyBorder="1" applyAlignment="1">
      <alignment horizontal="center" vertical="center" wrapText="1"/>
    </xf>
    <xf numFmtId="0" fontId="5" fillId="0" borderId="6" xfId="0" applyFont="1" applyBorder="1" applyAlignment="1">
      <alignment horizontal="left" vertical="center" wrapText="1"/>
    </xf>
    <xf numFmtId="0" fontId="1" fillId="3" borderId="6" xfId="0" applyFont="1" applyFill="1" applyBorder="1" applyAlignment="1">
      <alignment horizontal="justify" vertical="center" wrapText="1"/>
    </xf>
    <xf numFmtId="0" fontId="1" fillId="0" borderId="3" xfId="0" applyFont="1" applyBorder="1" applyAlignment="1">
      <alignment horizontal="center" vertical="center" wrapText="1"/>
    </xf>
    <xf numFmtId="0" fontId="6" fillId="0" borderId="6" xfId="0" applyFont="1" applyBorder="1" applyAlignment="1">
      <alignment horizontal="left" vertical="center" wrapText="1"/>
    </xf>
    <xf numFmtId="0" fontId="8" fillId="0" borderId="6" xfId="0" applyFont="1" applyBorder="1" applyAlignment="1">
      <alignment horizontal="center" vertical="center" wrapText="1"/>
    </xf>
    <xf numFmtId="0" fontId="1" fillId="0" borderId="6" xfId="0" applyFont="1" applyBorder="1" applyAlignment="1">
      <alignment horizontal="justify" vertical="center" wrapText="1"/>
    </xf>
    <xf numFmtId="0" fontId="9" fillId="0" borderId="1" xfId="0" applyFont="1" applyBorder="1" applyAlignment="1">
      <alignment horizontal="center" vertical="center" wrapText="1"/>
    </xf>
    <xf numFmtId="0" fontId="9" fillId="0" borderId="4" xfId="0" applyFont="1" applyBorder="1" applyAlignment="1">
      <alignment horizontal="center" vertical="center" wrapText="1"/>
    </xf>
    <xf numFmtId="0" fontId="10" fillId="0" borderId="3" xfId="0" applyFont="1" applyBorder="1" applyAlignment="1">
      <alignment horizontal="center" vertical="center" wrapText="1"/>
    </xf>
    <xf numFmtId="0" fontId="11" fillId="0" borderId="6" xfId="0" applyFont="1" applyBorder="1" applyAlignment="1">
      <alignment horizontal="justify" vertical="center" wrapText="1"/>
    </xf>
    <xf numFmtId="0" fontId="10" fillId="0" borderId="6" xfId="0" applyFont="1" applyBorder="1" applyAlignment="1">
      <alignment horizontal="left" vertical="center" wrapText="1"/>
    </xf>
    <xf numFmtId="0" fontId="9" fillId="0" borderId="6" xfId="0" applyFont="1" applyBorder="1" applyAlignment="1">
      <alignment horizontal="center" vertical="center" wrapText="1"/>
    </xf>
    <xf numFmtId="0" fontId="9" fillId="0" borderId="6" xfId="0" applyFont="1" applyBorder="1" applyAlignment="1">
      <alignment horizontal="center" vertical="center"/>
    </xf>
    <xf numFmtId="0" fontId="11" fillId="0" borderId="3" xfId="0" applyFont="1" applyBorder="1" applyAlignment="1">
      <alignment horizontal="center" vertical="center" wrapText="1"/>
    </xf>
    <xf numFmtId="0" fontId="12" fillId="0" borderId="6" xfId="0" applyFont="1" applyBorder="1" applyAlignment="1">
      <alignment horizontal="left" vertical="center" wrapText="1"/>
    </xf>
    <xf numFmtId="0" fontId="11" fillId="0" borderId="6" xfId="0" applyFont="1" applyBorder="1" applyAlignment="1">
      <alignment horizontal="left" vertical="center" wrapText="1"/>
    </xf>
    <xf numFmtId="0" fontId="9" fillId="0" borderId="3" xfId="0" applyFont="1" applyBorder="1" applyAlignment="1">
      <alignment horizontal="justify" vertical="center"/>
    </xf>
    <xf numFmtId="0" fontId="11" fillId="0" borderId="6" xfId="0" applyFont="1" applyBorder="1" applyAlignment="1">
      <alignment horizontal="justify" vertical="center"/>
    </xf>
    <xf numFmtId="0" fontId="9" fillId="0" borderId="3" xfId="0" applyFont="1" applyBorder="1" applyAlignment="1">
      <alignment horizontal="center" vertical="center" wrapText="1"/>
    </xf>
    <xf numFmtId="0" fontId="11" fillId="0" borderId="6" xfId="0" applyFont="1" applyBorder="1" applyAlignment="1">
      <alignment horizontal="center" vertical="center" wrapText="1"/>
    </xf>
    <xf numFmtId="0" fontId="16" fillId="0" borderId="0" xfId="0" applyFont="1"/>
    <xf numFmtId="0" fontId="17" fillId="0" borderId="0" xfId="0" applyFont="1" applyAlignment="1">
      <alignment horizontal="left" vertical="center"/>
    </xf>
    <xf numFmtId="0" fontId="18" fillId="2" borderId="13" xfId="0" applyFont="1" applyFill="1" applyBorder="1" applyAlignment="1">
      <alignment horizontal="center" vertical="center"/>
    </xf>
    <xf numFmtId="0" fontId="18" fillId="2" borderId="16" xfId="0" applyFont="1" applyFill="1" applyBorder="1" applyAlignment="1">
      <alignment horizontal="center" vertical="center"/>
    </xf>
    <xf numFmtId="0" fontId="18" fillId="2" borderId="14" xfId="0" applyFont="1" applyFill="1" applyBorder="1" applyAlignment="1">
      <alignment horizontal="center" vertical="center"/>
    </xf>
    <xf numFmtId="9" fontId="18" fillId="2" borderId="21" xfId="0" applyNumberFormat="1" applyFont="1" applyFill="1" applyBorder="1" applyAlignment="1">
      <alignment horizontal="center" vertical="center"/>
    </xf>
    <xf numFmtId="9" fontId="18" fillId="2" borderId="22" xfId="0" applyNumberFormat="1" applyFont="1" applyFill="1" applyBorder="1" applyAlignment="1">
      <alignment horizontal="center" vertical="center"/>
    </xf>
    <xf numFmtId="9" fontId="18" fillId="2" borderId="23" xfId="0" applyNumberFormat="1" applyFont="1" applyFill="1" applyBorder="1" applyAlignment="1">
      <alignment horizontal="center" vertical="center"/>
    </xf>
    <xf numFmtId="0" fontId="19" fillId="0" borderId="6" xfId="0" applyFont="1" applyFill="1" applyBorder="1" applyAlignment="1">
      <alignment horizontal="center" vertical="center"/>
    </xf>
    <xf numFmtId="0" fontId="18" fillId="0" borderId="11" xfId="0" applyFont="1" applyBorder="1" applyAlignment="1">
      <alignment horizontal="center" vertical="center"/>
    </xf>
    <xf numFmtId="0" fontId="18" fillId="0" borderId="17" xfId="0" applyFont="1" applyBorder="1" applyAlignment="1">
      <alignment horizontal="center" vertical="center"/>
    </xf>
    <xf numFmtId="0" fontId="18" fillId="0" borderId="15" xfId="0" applyFont="1" applyBorder="1" applyAlignment="1">
      <alignment horizontal="center" vertical="center"/>
    </xf>
    <xf numFmtId="0" fontId="18" fillId="0" borderId="19" xfId="0" applyFont="1" applyBorder="1" applyAlignment="1">
      <alignment horizontal="center" vertical="center"/>
    </xf>
    <xf numFmtId="0" fontId="3" fillId="0" borderId="0" xfId="0" applyFont="1" applyAlignment="1">
      <alignment vertical="center"/>
    </xf>
    <xf numFmtId="0" fontId="20" fillId="0" borderId="6" xfId="0" applyFont="1" applyBorder="1" applyAlignment="1">
      <alignment horizontal="center" vertical="center"/>
    </xf>
    <xf numFmtId="0" fontId="0" fillId="0" borderId="0" xfId="0" applyAlignment="1">
      <alignment horizontal="center" vertical="center"/>
    </xf>
    <xf numFmtId="0" fontId="0" fillId="0" borderId="25" xfId="0" applyBorder="1" applyAlignment="1">
      <alignment horizontal="center" vertical="center"/>
    </xf>
    <xf numFmtId="0" fontId="0" fillId="0" borderId="25" xfId="0" applyBorder="1"/>
    <xf numFmtId="0" fontId="10" fillId="0" borderId="25" xfId="0" applyFont="1" applyBorder="1" applyAlignment="1">
      <alignment vertical="center" wrapText="1"/>
    </xf>
    <xf numFmtId="0" fontId="11" fillId="0" borderId="25" xfId="0" applyFont="1" applyBorder="1" applyAlignment="1">
      <alignment horizontal="left" vertical="center" wrapText="1"/>
    </xf>
    <xf numFmtId="0" fontId="11" fillId="0" borderId="25" xfId="0" applyFont="1" applyBorder="1" applyAlignment="1">
      <alignment vertical="center" wrapText="1"/>
    </xf>
    <xf numFmtId="0" fontId="0" fillId="0" borderId="25" xfId="0" applyBorder="1" applyAlignment="1" applyProtection="1">
      <alignment horizontal="center" vertical="center"/>
    </xf>
    <xf numFmtId="0" fontId="0" fillId="4" borderId="25" xfId="0" applyFill="1" applyBorder="1" applyAlignment="1">
      <alignment horizontal="center" vertical="center"/>
    </xf>
    <xf numFmtId="0" fontId="0" fillId="4" borderId="29" xfId="0" applyFill="1" applyBorder="1" applyAlignment="1">
      <alignment horizontal="center" vertical="center"/>
    </xf>
    <xf numFmtId="0" fontId="0" fillId="5" borderId="25" xfId="0" applyFill="1" applyBorder="1" applyAlignment="1">
      <alignment horizontal="center" vertical="center"/>
    </xf>
    <xf numFmtId="0" fontId="0" fillId="6" borderId="25" xfId="0" applyFill="1" applyBorder="1" applyAlignment="1">
      <alignment horizontal="center" vertical="center"/>
    </xf>
    <xf numFmtId="0" fontId="0" fillId="4" borderId="25" xfId="0" applyFill="1" applyBorder="1"/>
    <xf numFmtId="0" fontId="0" fillId="6" borderId="25" xfId="0" applyFill="1" applyBorder="1"/>
    <xf numFmtId="0" fontId="10" fillId="0" borderId="25" xfId="0" applyFont="1" applyBorder="1" applyAlignment="1">
      <alignment horizontal="left" vertical="center" wrapText="1"/>
    </xf>
    <xf numFmtId="0" fontId="12" fillId="0" borderId="25" xfId="0" applyFont="1" applyBorder="1" applyAlignment="1">
      <alignment vertical="center" wrapText="1"/>
    </xf>
    <xf numFmtId="0" fontId="11" fillId="7" borderId="0" xfId="0" applyFont="1" applyFill="1" applyBorder="1" applyAlignment="1">
      <alignment horizontal="left" vertical="top" wrapText="1"/>
    </xf>
    <xf numFmtId="0" fontId="0" fillId="6" borderId="25" xfId="0" applyFill="1" applyBorder="1" applyAlignment="1">
      <alignment horizontal="center" vertical="center"/>
    </xf>
    <xf numFmtId="0" fontId="30" fillId="4" borderId="25" xfId="0" applyFont="1" applyFill="1" applyBorder="1" applyAlignment="1">
      <alignment horizontal="center" vertical="center"/>
    </xf>
    <xf numFmtId="0" fontId="0" fillId="0" borderId="25" xfId="0" applyFill="1" applyBorder="1" applyAlignment="1">
      <alignment horizontal="center" vertical="center"/>
    </xf>
    <xf numFmtId="0" fontId="28" fillId="0" borderId="25" xfId="0" applyFont="1" applyBorder="1" applyAlignment="1">
      <alignment horizontal="left" vertical="center" wrapText="1" indent="1"/>
    </xf>
    <xf numFmtId="0" fontId="0" fillId="6" borderId="25" xfId="0" applyFill="1" applyBorder="1" applyAlignment="1">
      <alignment horizontal="center" vertical="center" wrapText="1"/>
    </xf>
    <xf numFmtId="0" fontId="10" fillId="0" borderId="29" xfId="0" applyFont="1" applyBorder="1" applyAlignment="1">
      <alignment vertical="center" wrapText="1"/>
    </xf>
    <xf numFmtId="0" fontId="0" fillId="0" borderId="0" xfId="0" applyBorder="1"/>
    <xf numFmtId="0" fontId="37" fillId="2" borderId="40" xfId="0" applyFont="1" applyFill="1" applyBorder="1" applyAlignment="1" applyProtection="1">
      <alignment horizontal="center" vertical="center" wrapText="1"/>
    </xf>
    <xf numFmtId="0" fontId="37" fillId="2" borderId="41" xfId="0" applyFont="1" applyFill="1" applyBorder="1" applyAlignment="1" applyProtection="1">
      <alignment horizontal="center" vertical="center" wrapText="1"/>
    </xf>
    <xf numFmtId="0" fontId="37" fillId="2" borderId="18" xfId="0" applyFont="1" applyFill="1" applyBorder="1" applyAlignment="1" applyProtection="1">
      <alignment horizontal="center" vertical="center" wrapText="1"/>
    </xf>
    <xf numFmtId="0" fontId="38" fillId="0" borderId="0" xfId="0" applyFont="1" applyProtection="1"/>
    <xf numFmtId="0" fontId="37" fillId="2" borderId="1" xfId="0" applyFont="1" applyFill="1" applyBorder="1" applyAlignment="1" applyProtection="1">
      <alignment horizontal="center" vertical="center" wrapText="1"/>
    </xf>
    <xf numFmtId="0" fontId="39" fillId="0" borderId="0" xfId="0" applyFont="1" applyBorder="1" applyAlignment="1">
      <alignment horizontal="center" vertical="top" wrapText="1"/>
    </xf>
    <xf numFmtId="0" fontId="40" fillId="0" borderId="0" xfId="0" applyFont="1" applyBorder="1" applyAlignment="1">
      <alignment vertical="top" wrapText="1"/>
    </xf>
    <xf numFmtId="2" fontId="39" fillId="9" borderId="44" xfId="1" applyNumberFormat="1" applyFont="1" applyFill="1" applyBorder="1" applyAlignment="1" applyProtection="1">
      <alignment horizontal="center" vertical="center"/>
      <protection locked="0"/>
    </xf>
    <xf numFmtId="0" fontId="39" fillId="0" borderId="0" xfId="0" applyFont="1" applyProtection="1"/>
    <xf numFmtId="0" fontId="0" fillId="10" borderId="1" xfId="0" applyFill="1" applyBorder="1" applyAlignment="1" applyProtection="1">
      <alignment horizontal="left" vertical="top" wrapText="1"/>
      <protection locked="0"/>
    </xf>
    <xf numFmtId="2" fontId="11" fillId="4" borderId="46" xfId="0" applyNumberFormat="1" applyFont="1" applyFill="1" applyBorder="1" applyAlignment="1" applyProtection="1">
      <alignment horizontal="center" vertical="center"/>
      <protection locked="0"/>
    </xf>
    <xf numFmtId="0" fontId="0" fillId="0" borderId="0" xfId="0" applyFill="1" applyBorder="1" applyAlignment="1" applyProtection="1">
      <alignment horizontal="left" vertical="top" wrapText="1"/>
      <protection locked="0"/>
    </xf>
    <xf numFmtId="2" fontId="39" fillId="4" borderId="47" xfId="0" applyNumberFormat="1" applyFont="1" applyFill="1" applyBorder="1" applyAlignment="1" applyProtection="1">
      <alignment horizontal="center" vertical="center" wrapText="1"/>
      <protection locked="0"/>
    </xf>
    <xf numFmtId="2" fontId="39" fillId="2" borderId="47" xfId="0" applyNumberFormat="1" applyFont="1" applyFill="1" applyBorder="1" applyAlignment="1" applyProtection="1">
      <alignment horizontal="center" vertical="center" wrapText="1"/>
    </xf>
    <xf numFmtId="0" fontId="39" fillId="0" borderId="0" xfId="0" applyFont="1" applyAlignment="1" applyProtection="1">
      <alignment horizontal="center" vertical="top"/>
    </xf>
    <xf numFmtId="0" fontId="39" fillId="0" borderId="0" xfId="0" applyFont="1" applyAlignment="1" applyProtection="1">
      <alignment vertical="top"/>
    </xf>
    <xf numFmtId="2" fontId="11" fillId="2" borderId="19" xfId="0" applyNumberFormat="1" applyFont="1" applyFill="1" applyBorder="1" applyAlignment="1" applyProtection="1">
      <alignment horizontal="center" vertical="center"/>
    </xf>
    <xf numFmtId="0" fontId="0" fillId="0" borderId="0" xfId="0" applyFill="1" applyAlignment="1">
      <alignment horizontal="left" vertical="top"/>
    </xf>
    <xf numFmtId="0" fontId="39" fillId="0" borderId="0" xfId="0" applyFont="1" applyAlignment="1" applyProtection="1">
      <alignment horizontal="center" vertical="center"/>
    </xf>
    <xf numFmtId="0" fontId="0" fillId="0" borderId="0" xfId="0" applyAlignment="1">
      <alignment horizontal="left" vertical="top"/>
    </xf>
    <xf numFmtId="0" fontId="40" fillId="0" borderId="0" xfId="0" applyFont="1" applyBorder="1" applyAlignment="1">
      <alignment horizontal="center" vertical="top" wrapText="1"/>
    </xf>
    <xf numFmtId="0" fontId="40" fillId="0" borderId="0" xfId="0" applyFont="1" applyBorder="1" applyAlignment="1">
      <alignment horizontal="left" vertical="top" wrapText="1"/>
    </xf>
    <xf numFmtId="2" fontId="39" fillId="0" borderId="44" xfId="1" applyNumberFormat="1" applyFont="1" applyFill="1" applyBorder="1" applyAlignment="1" applyProtection="1">
      <alignment horizontal="center" vertical="center"/>
      <protection locked="0"/>
    </xf>
    <xf numFmtId="2" fontId="39" fillId="4" borderId="25" xfId="0" applyNumberFormat="1" applyFont="1" applyFill="1" applyBorder="1" applyAlignment="1" applyProtection="1">
      <alignment horizontal="center" vertical="center" wrapText="1"/>
      <protection locked="0"/>
    </xf>
    <xf numFmtId="2" fontId="0" fillId="4" borderId="25" xfId="0" applyNumberFormat="1" applyFill="1" applyBorder="1" applyAlignment="1" applyProtection="1">
      <alignment horizontal="center" vertical="center"/>
      <protection locked="0"/>
    </xf>
    <xf numFmtId="2" fontId="0" fillId="2" borderId="31" xfId="0" applyNumberFormat="1" applyFill="1" applyBorder="1" applyAlignment="1" applyProtection="1">
      <alignment horizontal="center" vertical="center"/>
    </xf>
    <xf numFmtId="2" fontId="0" fillId="2" borderId="54" xfId="0" applyNumberFormat="1" applyFill="1" applyBorder="1" applyAlignment="1" applyProtection="1">
      <alignment horizontal="center" vertical="center"/>
    </xf>
    <xf numFmtId="0" fontId="0" fillId="0" borderId="0" xfId="0" applyAlignment="1">
      <alignment horizontal="left" vertical="top" wrapText="1"/>
    </xf>
    <xf numFmtId="0" fontId="0" fillId="0" borderId="0" xfId="0" applyNumberFormat="1" applyBorder="1" applyAlignment="1">
      <alignment horizontal="left" vertical="top" wrapText="1"/>
    </xf>
    <xf numFmtId="2" fontId="39" fillId="4" borderId="44" xfId="1" applyNumberFormat="1" applyFont="1" applyFill="1" applyBorder="1" applyAlignment="1" applyProtection="1">
      <alignment horizontal="center" vertical="center"/>
      <protection locked="0"/>
    </xf>
    <xf numFmtId="0" fontId="39" fillId="0" borderId="55" xfId="0" applyFont="1" applyBorder="1" applyAlignment="1">
      <alignment horizontal="center" vertical="center" wrapText="1"/>
    </xf>
    <xf numFmtId="0" fontId="11" fillId="0" borderId="25" xfId="0" applyFont="1" applyBorder="1" applyAlignment="1">
      <alignment horizontal="left" wrapText="1"/>
    </xf>
    <xf numFmtId="2" fontId="39" fillId="0" borderId="46" xfId="1" applyNumberFormat="1" applyFont="1" applyFill="1" applyBorder="1" applyAlignment="1" applyProtection="1">
      <alignment horizontal="center" vertical="center"/>
      <protection locked="0"/>
    </xf>
    <xf numFmtId="0" fontId="11" fillId="0" borderId="25" xfId="0" applyFont="1" applyBorder="1" applyAlignment="1">
      <alignment wrapText="1"/>
    </xf>
    <xf numFmtId="2" fontId="39" fillId="2" borderId="54" xfId="0" applyNumberFormat="1" applyFont="1" applyFill="1" applyBorder="1" applyAlignment="1" applyProtection="1">
      <alignment horizontal="center" vertical="center"/>
    </xf>
    <xf numFmtId="2" fontId="39" fillId="10" borderId="44" xfId="1" applyNumberFormat="1" applyFont="1" applyFill="1" applyBorder="1" applyAlignment="1" applyProtection="1">
      <alignment horizontal="center" vertical="center"/>
      <protection locked="0"/>
    </xf>
    <xf numFmtId="0" fontId="39" fillId="0" borderId="0" xfId="0" applyFont="1" applyFill="1" applyBorder="1" applyAlignment="1" applyProtection="1">
      <alignment horizontal="left"/>
    </xf>
    <xf numFmtId="0" fontId="39" fillId="0" borderId="0" xfId="0" applyFont="1" applyFill="1" applyBorder="1" applyAlignment="1" applyProtection="1">
      <alignment horizontal="center" vertical="center"/>
    </xf>
    <xf numFmtId="0" fontId="39" fillId="0" borderId="0" xfId="0" applyNumberFormat="1" applyFont="1" applyAlignment="1" applyProtection="1">
      <alignment horizontal="left" vertical="top"/>
    </xf>
    <xf numFmtId="0" fontId="39" fillId="0" borderId="25" xfId="0" applyFont="1" applyBorder="1" applyProtection="1"/>
    <xf numFmtId="0" fontId="39" fillId="0" borderId="25" xfId="0" applyFont="1" applyFill="1" applyBorder="1" applyAlignment="1" applyProtection="1">
      <alignment horizontal="left"/>
    </xf>
    <xf numFmtId="0" fontId="39" fillId="2" borderId="54" xfId="0" applyFont="1" applyFill="1" applyBorder="1" applyAlignment="1" applyProtection="1">
      <alignment horizontal="center" vertical="center"/>
    </xf>
    <xf numFmtId="2" fontId="39" fillId="10" borderId="44" xfId="0" applyNumberFormat="1" applyFont="1" applyFill="1" applyBorder="1" applyAlignment="1" applyProtection="1">
      <alignment horizontal="center" vertical="center"/>
      <protection locked="0"/>
    </xf>
    <xf numFmtId="2" fontId="39" fillId="2" borderId="54" xfId="0" applyNumberFormat="1" applyFont="1" applyFill="1" applyBorder="1" applyAlignment="1" applyProtection="1">
      <alignment horizontal="center" vertical="center" wrapText="1"/>
    </xf>
    <xf numFmtId="0" fontId="39" fillId="0" borderId="0" xfId="0" applyFont="1" applyAlignment="1" applyProtection="1">
      <alignment horizontal="center" vertical="center" wrapText="1"/>
    </xf>
    <xf numFmtId="0" fontId="39" fillId="0" borderId="44" xfId="0" applyFont="1" applyBorder="1" applyAlignment="1" applyProtection="1">
      <alignment horizontal="center" vertical="center"/>
    </xf>
    <xf numFmtId="0" fontId="39" fillId="0" borderId="55" xfId="0" applyFont="1" applyBorder="1" applyProtection="1"/>
    <xf numFmtId="0" fontId="39" fillId="10" borderId="47" xfId="0" applyFont="1" applyFill="1" applyBorder="1" applyAlignment="1" applyProtection="1">
      <alignment horizontal="center" vertical="center"/>
      <protection locked="0"/>
    </xf>
    <xf numFmtId="0" fontId="39" fillId="0" borderId="55" xfId="0" applyFont="1" applyBorder="1" applyAlignment="1" applyProtection="1"/>
    <xf numFmtId="0" fontId="39" fillId="0" borderId="25" xfId="0" applyFont="1" applyBorder="1" applyAlignment="1" applyProtection="1"/>
    <xf numFmtId="2" fontId="39" fillId="2" borderId="47" xfId="0" applyNumberFormat="1" applyFont="1" applyFill="1" applyBorder="1" applyAlignment="1" applyProtection="1">
      <alignment horizontal="center" vertical="center"/>
    </xf>
    <xf numFmtId="0" fontId="39" fillId="0" borderId="44" xfId="0" applyFont="1" applyFill="1" applyBorder="1" applyAlignment="1" applyProtection="1">
      <alignment horizontal="center" vertical="center"/>
    </xf>
    <xf numFmtId="0" fontId="40" fillId="0" borderId="55" xfId="0" applyFont="1" applyBorder="1" applyAlignment="1">
      <alignment horizontal="left" vertical="top"/>
    </xf>
    <xf numFmtId="0" fontId="40" fillId="0" borderId="25" xfId="0" applyFont="1" applyBorder="1" applyAlignment="1">
      <alignment horizontal="left" vertical="top" wrapText="1"/>
    </xf>
    <xf numFmtId="0" fontId="40" fillId="0" borderId="56" xfId="0" applyFont="1" applyBorder="1" applyAlignment="1">
      <alignment horizontal="left" vertical="top"/>
    </xf>
    <xf numFmtId="0" fontId="40" fillId="0" borderId="32" xfId="0" applyFont="1" applyBorder="1" applyAlignment="1">
      <alignment horizontal="left" vertical="top" wrapText="1"/>
    </xf>
    <xf numFmtId="2" fontId="39" fillId="2" borderId="57" xfId="0" applyNumberFormat="1" applyFont="1" applyFill="1" applyBorder="1" applyAlignment="1" applyProtection="1">
      <alignment horizontal="center" vertical="center"/>
    </xf>
    <xf numFmtId="2" fontId="39" fillId="10" borderId="47" xfId="0" applyNumberFormat="1" applyFont="1" applyFill="1" applyBorder="1" applyAlignment="1" applyProtection="1">
      <alignment horizontal="center" vertical="center"/>
      <protection locked="0"/>
    </xf>
    <xf numFmtId="0" fontId="39" fillId="0" borderId="25" xfId="0" applyFont="1" applyBorder="1" applyAlignment="1">
      <alignment horizontal="left" vertical="top" wrapText="1"/>
    </xf>
    <xf numFmtId="0" fontId="39" fillId="2" borderId="47" xfId="0" applyFont="1" applyFill="1" applyBorder="1" applyAlignment="1" applyProtection="1">
      <alignment horizontal="center" vertical="center"/>
    </xf>
    <xf numFmtId="0" fontId="43" fillId="0" borderId="0" xfId="0" applyFont="1" applyAlignment="1" applyProtection="1">
      <alignment horizontal="center" vertical="top"/>
    </xf>
    <xf numFmtId="0" fontId="43" fillId="0" borderId="0" xfId="0" applyFont="1" applyAlignment="1" applyProtection="1">
      <alignment vertical="top"/>
    </xf>
    <xf numFmtId="9" fontId="39" fillId="2" borderId="47" xfId="1" applyFont="1" applyFill="1" applyBorder="1" applyAlignment="1" applyProtection="1">
      <alignment horizontal="center" vertical="center"/>
    </xf>
    <xf numFmtId="0" fontId="39" fillId="0" borderId="55" xfId="0" applyFont="1" applyFill="1" applyBorder="1" applyProtection="1"/>
    <xf numFmtId="0" fontId="39" fillId="0" borderId="52" xfId="0" applyFont="1" applyFill="1" applyBorder="1" applyProtection="1"/>
    <xf numFmtId="0" fontId="39" fillId="0" borderId="53" xfId="0" applyFont="1" applyBorder="1" applyProtection="1"/>
    <xf numFmtId="0" fontId="40" fillId="0" borderId="0" xfId="0" applyNumberFormat="1" applyFont="1" applyBorder="1" applyAlignment="1">
      <alignment horizontal="left" vertical="top" wrapText="1"/>
    </xf>
    <xf numFmtId="0" fontId="39" fillId="0" borderId="58" xfId="0" applyFont="1" applyBorder="1" applyAlignment="1">
      <alignment horizontal="left" vertical="top"/>
    </xf>
    <xf numFmtId="0" fontId="39" fillId="0" borderId="31" xfId="0" applyFont="1" applyBorder="1" applyAlignment="1">
      <alignment horizontal="left" vertical="top" wrapText="1"/>
    </xf>
    <xf numFmtId="2" fontId="39" fillId="10" borderId="59" xfId="0" applyNumberFormat="1" applyFont="1" applyFill="1" applyBorder="1" applyAlignment="1" applyProtection="1">
      <alignment horizontal="center" vertical="center"/>
      <protection locked="0"/>
    </xf>
    <xf numFmtId="0" fontId="39" fillId="0" borderId="55" xfId="0" applyFont="1" applyFill="1" applyBorder="1" applyAlignment="1" applyProtection="1">
      <alignment horizontal="left"/>
    </xf>
    <xf numFmtId="0" fontId="39" fillId="0" borderId="0" xfId="0" applyFont="1" applyFill="1" applyBorder="1" applyProtection="1"/>
    <xf numFmtId="0" fontId="39" fillId="0" borderId="0" xfId="0" applyFont="1" applyBorder="1" applyProtection="1"/>
    <xf numFmtId="0" fontId="39" fillId="0" borderId="0" xfId="0" applyFont="1" applyBorder="1" applyAlignment="1">
      <alignment horizontal="left" vertical="top" wrapText="1"/>
    </xf>
    <xf numFmtId="0" fontId="44" fillId="0" borderId="31" xfId="0" applyFont="1" applyFill="1" applyBorder="1" applyProtection="1"/>
    <xf numFmtId="0" fontId="46" fillId="0" borderId="31" xfId="0" applyFont="1" applyBorder="1" applyProtection="1"/>
    <xf numFmtId="0" fontId="39" fillId="0" borderId="31" xfId="0" applyFont="1" applyBorder="1" applyAlignment="1" applyProtection="1">
      <alignment horizontal="center" vertical="center"/>
    </xf>
    <xf numFmtId="0" fontId="39" fillId="0" borderId="0" xfId="0" applyFont="1" applyFill="1" applyProtection="1"/>
    <xf numFmtId="0" fontId="39" fillId="0" borderId="0" xfId="0" applyFont="1" applyAlignment="1" applyProtection="1">
      <alignment vertical="center"/>
    </xf>
    <xf numFmtId="0" fontId="40" fillId="0" borderId="0" xfId="0" applyFont="1" applyFill="1" applyBorder="1" applyAlignment="1">
      <alignment horizontal="center" vertical="top" wrapText="1"/>
    </xf>
    <xf numFmtId="0" fontId="40" fillId="0" borderId="0" xfId="0" applyFont="1" applyFill="1" applyBorder="1" applyAlignment="1">
      <alignment horizontal="left" vertical="top" wrapText="1"/>
    </xf>
    <xf numFmtId="0" fontId="40" fillId="0" borderId="55" xfId="0" applyFont="1" applyFill="1" applyBorder="1" applyAlignment="1">
      <alignment horizontal="center" vertical="center" wrapText="1"/>
    </xf>
    <xf numFmtId="0" fontId="10" fillId="0" borderId="0" xfId="0" applyFont="1" applyBorder="1" applyAlignment="1">
      <alignment horizontal="left" vertical="top" wrapText="1"/>
    </xf>
    <xf numFmtId="2" fontId="39" fillId="0" borderId="46" xfId="0" applyNumberFormat="1" applyFont="1" applyFill="1" applyBorder="1" applyAlignment="1" applyProtection="1">
      <alignment horizontal="center" vertical="center"/>
      <protection locked="0"/>
    </xf>
    <xf numFmtId="0" fontId="0" fillId="0" borderId="0" xfId="0" applyFill="1"/>
    <xf numFmtId="0" fontId="40" fillId="0" borderId="25" xfId="0" applyFont="1" applyFill="1" applyBorder="1" applyAlignment="1">
      <alignment horizontal="left" vertical="top" wrapText="1"/>
    </xf>
    <xf numFmtId="0" fontId="11" fillId="0" borderId="0" xfId="0" applyFont="1" applyBorder="1" applyAlignment="1">
      <alignment horizontal="left" vertical="top" wrapText="1"/>
    </xf>
    <xf numFmtId="0" fontId="39" fillId="0" borderId="59" xfId="0" applyFont="1" applyFill="1" applyBorder="1" applyAlignment="1" applyProtection="1">
      <alignment horizontal="center" vertical="center"/>
    </xf>
    <xf numFmtId="0" fontId="40" fillId="0" borderId="0" xfId="0" applyFont="1" applyFill="1" applyBorder="1" applyAlignment="1">
      <alignment horizontal="center" vertical="center" wrapText="1"/>
    </xf>
    <xf numFmtId="0" fontId="40" fillId="0" borderId="0" xfId="0" applyFont="1" applyFill="1" applyBorder="1" applyAlignment="1">
      <alignment horizontal="left" vertical="center" wrapText="1"/>
    </xf>
    <xf numFmtId="0" fontId="11" fillId="0" borderId="25" xfId="0" applyFont="1" applyBorder="1" applyAlignment="1">
      <alignment horizontal="left" vertical="top" wrapText="1"/>
    </xf>
    <xf numFmtId="0" fontId="11" fillId="0" borderId="0" xfId="0" applyFont="1" applyAlignment="1">
      <alignment vertical="top" wrapText="1"/>
    </xf>
    <xf numFmtId="0" fontId="40" fillId="0" borderId="0" xfId="0" applyFont="1" applyBorder="1" applyAlignment="1">
      <alignment horizontal="center" vertical="center" wrapText="1"/>
    </xf>
    <xf numFmtId="0" fontId="40" fillId="0" borderId="0" xfId="0" applyFont="1" applyBorder="1" applyAlignment="1">
      <alignment horizontal="left" vertical="center" wrapText="1"/>
    </xf>
    <xf numFmtId="0" fontId="30" fillId="0" borderId="55" xfId="0" applyFont="1" applyBorder="1" applyAlignment="1">
      <alignment horizontal="center" vertical="center" wrapText="1"/>
    </xf>
    <xf numFmtId="0" fontId="11" fillId="0" borderId="0" xfId="0" applyFont="1" applyBorder="1" applyAlignment="1">
      <alignment horizontal="left" vertical="top"/>
    </xf>
    <xf numFmtId="0" fontId="11" fillId="0" borderId="25" xfId="0" applyFont="1" applyBorder="1" applyAlignment="1">
      <alignment horizontal="left" vertical="top"/>
    </xf>
    <xf numFmtId="0" fontId="47" fillId="0" borderId="0" xfId="0" applyFont="1" applyAlignment="1" applyProtection="1">
      <alignment horizontal="center"/>
    </xf>
    <xf numFmtId="0" fontId="47" fillId="0" borderId="0" xfId="0" applyFont="1" applyProtection="1"/>
    <xf numFmtId="0" fontId="47" fillId="0" borderId="0" xfId="0" applyFont="1" applyAlignment="1">
      <alignment horizontal="center"/>
    </xf>
    <xf numFmtId="0" fontId="47" fillId="0" borderId="0" xfId="0" applyFont="1"/>
    <xf numFmtId="0" fontId="48" fillId="0" borderId="0" xfId="0" applyFont="1"/>
    <xf numFmtId="2" fontId="20" fillId="0" borderId="6" xfId="0" applyNumberFormat="1" applyFont="1" applyBorder="1" applyAlignment="1">
      <alignment horizontal="center" vertical="center"/>
    </xf>
    <xf numFmtId="164" fontId="0" fillId="0" borderId="25" xfId="2" applyNumberFormat="1" applyFont="1" applyBorder="1" applyAlignment="1">
      <alignment horizontal="center" vertical="center"/>
    </xf>
    <xf numFmtId="0" fontId="0" fillId="7" borderId="0" xfId="0" applyFill="1" applyBorder="1" applyAlignment="1">
      <alignment horizontal="center"/>
    </xf>
    <xf numFmtId="0" fontId="0" fillId="0" borderId="0" xfId="0" applyFill="1" applyBorder="1" applyAlignment="1" applyProtection="1">
      <alignment horizontal="center" vertical="center"/>
      <protection locked="0"/>
    </xf>
    <xf numFmtId="0" fontId="11" fillId="7" borderId="0" xfId="0" applyFont="1" applyFill="1" applyBorder="1" applyAlignment="1">
      <alignment horizontal="center" vertical="top" wrapText="1"/>
    </xf>
    <xf numFmtId="0" fontId="0" fillId="6" borderId="25" xfId="0" applyFill="1" applyBorder="1" applyAlignment="1">
      <alignment horizontal="center" vertical="center"/>
    </xf>
    <xf numFmtId="0" fontId="11" fillId="7" borderId="25" xfId="0" applyFont="1" applyFill="1" applyBorder="1" applyAlignment="1">
      <alignment horizontal="left" vertical="center" wrapText="1"/>
    </xf>
    <xf numFmtId="0" fontId="11" fillId="7" borderId="0" xfId="0" applyFont="1" applyFill="1" applyBorder="1" applyAlignment="1">
      <alignment horizontal="center" vertical="top" wrapText="1"/>
    </xf>
    <xf numFmtId="0" fontId="0" fillId="6" borderId="25" xfId="0" applyFill="1" applyBorder="1" applyAlignment="1">
      <alignment horizontal="center" vertical="center"/>
    </xf>
    <xf numFmtId="0" fontId="0" fillId="7" borderId="0" xfId="0" applyFill="1" applyBorder="1" applyAlignment="1">
      <alignment horizontal="center"/>
    </xf>
    <xf numFmtId="9" fontId="0" fillId="0" borderId="25" xfId="1" applyFont="1" applyFill="1" applyBorder="1" applyAlignment="1">
      <alignment horizontal="center" vertical="center"/>
    </xf>
    <xf numFmtId="0" fontId="18" fillId="2" borderId="2" xfId="0" applyFont="1" applyFill="1" applyBorder="1" applyAlignment="1">
      <alignment horizontal="center" vertical="center" wrapText="1"/>
    </xf>
    <xf numFmtId="0" fontId="18" fillId="2" borderId="20" xfId="0" applyFont="1" applyFill="1" applyBorder="1" applyAlignment="1">
      <alignment horizontal="center" vertical="center" wrapText="1"/>
    </xf>
    <xf numFmtId="0" fontId="18" fillId="2" borderId="18" xfId="0" applyFont="1" applyFill="1" applyBorder="1" applyAlignment="1">
      <alignment horizontal="center" vertical="center"/>
    </xf>
    <xf numFmtId="0" fontId="18" fillId="2" borderId="24" xfId="0" applyFont="1" applyFill="1" applyBorder="1" applyAlignment="1">
      <alignment horizontal="center" vertical="center"/>
    </xf>
    <xf numFmtId="0" fontId="1" fillId="0" borderId="2" xfId="0" applyFont="1" applyBorder="1" applyAlignment="1">
      <alignment horizontal="justify" vertical="center" wrapText="1"/>
    </xf>
    <xf numFmtId="0" fontId="1" fillId="0" borderId="8" xfId="0" applyFont="1" applyBorder="1" applyAlignment="1">
      <alignment horizontal="justify" vertical="center" wrapText="1"/>
    </xf>
    <xf numFmtId="0" fontId="1" fillId="0" borderId="3" xfId="0" applyFont="1" applyBorder="1" applyAlignment="1">
      <alignment horizontal="justify" vertical="center" wrapText="1"/>
    </xf>
    <xf numFmtId="0" fontId="1" fillId="0" borderId="13" xfId="0" applyFont="1" applyBorder="1" applyAlignment="1">
      <alignment horizontal="justify" vertical="center" wrapText="1"/>
    </xf>
    <xf numFmtId="0" fontId="1" fillId="0" borderId="5" xfId="0" applyFont="1" applyBorder="1" applyAlignment="1">
      <alignment horizontal="justify" vertical="center" wrapText="1"/>
    </xf>
    <xf numFmtId="0" fontId="4" fillId="0" borderId="10" xfId="0" applyFont="1" applyBorder="1" applyAlignment="1">
      <alignment horizontal="center" vertical="center" wrapText="1"/>
    </xf>
    <xf numFmtId="0" fontId="4" fillId="0" borderId="9" xfId="0" applyFont="1" applyBorder="1" applyAlignment="1">
      <alignment horizontal="center" vertical="center" wrapText="1"/>
    </xf>
    <xf numFmtId="0" fontId="1" fillId="0" borderId="11" xfId="0" applyFont="1" applyBorder="1" applyAlignment="1">
      <alignment horizontal="justify" vertical="center" wrapText="1"/>
    </xf>
    <xf numFmtId="0" fontId="1" fillId="0" borderId="6" xfId="0" applyFont="1" applyBorder="1" applyAlignment="1">
      <alignment horizontal="justify" vertical="center" wrapText="1"/>
    </xf>
    <xf numFmtId="0" fontId="1" fillId="0" borderId="2" xfId="0" applyFont="1" applyBorder="1" applyAlignment="1">
      <alignment horizontal="center" vertical="center" wrapText="1"/>
    </xf>
    <xf numFmtId="0" fontId="1" fillId="0" borderId="8" xfId="0" applyFont="1" applyBorder="1" applyAlignment="1">
      <alignment horizontal="center" vertical="center" wrapText="1"/>
    </xf>
    <xf numFmtId="0" fontId="1" fillId="0" borderId="3" xfId="0" applyFont="1" applyBorder="1" applyAlignment="1">
      <alignment horizontal="center" vertical="center" wrapText="1"/>
    </xf>
    <xf numFmtId="0" fontId="1" fillId="3" borderId="2" xfId="0" applyFont="1" applyFill="1" applyBorder="1" applyAlignment="1">
      <alignment horizontal="justify" vertical="center" wrapText="1"/>
    </xf>
    <xf numFmtId="0" fontId="1" fillId="3" borderId="8" xfId="0" applyFont="1" applyFill="1" applyBorder="1" applyAlignment="1">
      <alignment horizontal="justify" vertical="center" wrapText="1"/>
    </xf>
    <xf numFmtId="0" fontId="1" fillId="3" borderId="3" xfId="0" applyFont="1" applyFill="1" applyBorder="1" applyAlignment="1">
      <alignment horizontal="justify" vertical="center" wrapText="1"/>
    </xf>
    <xf numFmtId="0" fontId="6" fillId="0" borderId="2" xfId="0" applyFont="1" applyBorder="1" applyAlignment="1">
      <alignment horizontal="left" vertical="center" wrapText="1"/>
    </xf>
    <xf numFmtId="0" fontId="6" fillId="0" borderId="8" xfId="0" applyFont="1" applyBorder="1" applyAlignment="1">
      <alignment horizontal="left" vertical="center" wrapText="1"/>
    </xf>
    <xf numFmtId="0" fontId="6" fillId="0" borderId="3" xfId="0" applyFont="1" applyBorder="1" applyAlignment="1">
      <alignment horizontal="left" vertical="center" wrapText="1"/>
    </xf>
    <xf numFmtId="0" fontId="8" fillId="0" borderId="2" xfId="0" applyFont="1" applyBorder="1" applyAlignment="1">
      <alignment horizontal="center" vertical="center" wrapText="1"/>
    </xf>
    <xf numFmtId="0" fontId="8" fillId="0" borderId="8" xfId="0" applyFont="1" applyBorder="1" applyAlignment="1">
      <alignment horizontal="center" vertical="center" wrapText="1"/>
    </xf>
    <xf numFmtId="0" fontId="8" fillId="0" borderId="3"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7" xfId="0" applyFont="1" applyBorder="1" applyAlignment="1">
      <alignment horizontal="center" vertical="center" wrapText="1"/>
    </xf>
    <xf numFmtId="0" fontId="1" fillId="0" borderId="4" xfId="0" applyFont="1" applyBorder="1" applyAlignment="1">
      <alignment horizontal="center" vertical="center" wrapText="1"/>
    </xf>
    <xf numFmtId="0" fontId="11" fillId="7" borderId="25" xfId="0" applyFont="1" applyFill="1" applyBorder="1" applyAlignment="1">
      <alignment horizontal="left" vertical="center" wrapText="1"/>
    </xf>
    <xf numFmtId="0" fontId="11" fillId="7" borderId="32" xfId="0" applyFont="1" applyFill="1" applyBorder="1" applyAlignment="1">
      <alignment horizontal="left" vertical="top" wrapText="1"/>
    </xf>
    <xf numFmtId="0" fontId="11" fillId="7" borderId="29" xfId="0" applyFont="1" applyFill="1" applyBorder="1" applyAlignment="1">
      <alignment horizontal="left" vertical="top" wrapText="1"/>
    </xf>
    <xf numFmtId="0" fontId="11" fillId="7" borderId="25" xfId="0" applyFont="1" applyFill="1" applyBorder="1" applyAlignment="1">
      <alignment horizontal="left" vertical="top" wrapText="1"/>
    </xf>
    <xf numFmtId="0" fontId="12" fillId="0" borderId="25" xfId="0" applyFont="1" applyBorder="1" applyAlignment="1">
      <alignment horizontal="left" vertical="center" wrapText="1"/>
    </xf>
    <xf numFmtId="0" fontId="10" fillId="0" borderId="25" xfId="0" applyFont="1" applyBorder="1" applyAlignment="1">
      <alignment horizontal="left" vertical="center" wrapText="1"/>
    </xf>
    <xf numFmtId="0" fontId="0" fillId="7" borderId="36" xfId="0" applyFill="1" applyBorder="1" applyAlignment="1">
      <alignment horizontal="center"/>
    </xf>
    <xf numFmtId="0" fontId="0" fillId="7" borderId="26" xfId="0" applyFill="1" applyBorder="1" applyAlignment="1">
      <alignment horizontal="center"/>
    </xf>
    <xf numFmtId="0" fontId="0" fillId="7" borderId="33" xfId="0" applyFill="1" applyBorder="1" applyAlignment="1">
      <alignment horizontal="center"/>
    </xf>
    <xf numFmtId="0" fontId="0" fillId="7" borderId="34" xfId="0" applyFill="1" applyBorder="1" applyAlignment="1">
      <alignment horizontal="center"/>
    </xf>
    <xf numFmtId="0" fontId="0" fillId="7" borderId="35" xfId="0" applyFill="1" applyBorder="1" applyAlignment="1">
      <alignment horizontal="center"/>
    </xf>
    <xf numFmtId="0" fontId="11" fillId="7" borderId="28" xfId="0" applyFont="1" applyFill="1" applyBorder="1" applyAlignment="1">
      <alignment horizontal="left" vertical="top" wrapText="1"/>
    </xf>
    <xf numFmtId="0" fontId="0" fillId="7" borderId="0" xfId="0" applyFill="1" applyBorder="1" applyAlignment="1">
      <alignment horizontal="center"/>
    </xf>
    <xf numFmtId="0" fontId="11" fillId="7" borderId="36" xfId="0" applyFont="1" applyFill="1" applyBorder="1" applyAlignment="1">
      <alignment horizontal="center" vertical="top" wrapText="1"/>
    </xf>
    <xf numFmtId="0" fontId="11" fillId="7" borderId="0" xfId="0" applyFont="1" applyFill="1" applyBorder="1" applyAlignment="1">
      <alignment horizontal="center" vertical="top" wrapText="1"/>
    </xf>
    <xf numFmtId="0" fontId="11" fillId="7" borderId="33" xfId="0" applyFont="1" applyFill="1" applyBorder="1" applyAlignment="1">
      <alignment horizontal="center" vertical="top" wrapText="1"/>
    </xf>
    <xf numFmtId="0" fontId="11" fillId="7" borderId="34" xfId="0" applyFont="1" applyFill="1" applyBorder="1" applyAlignment="1">
      <alignment horizontal="center" vertical="top" wrapText="1"/>
    </xf>
    <xf numFmtId="0" fontId="11" fillId="7" borderId="38" xfId="0" applyFont="1" applyFill="1" applyBorder="1" applyAlignment="1">
      <alignment horizontal="left" vertical="center" wrapText="1"/>
    </xf>
    <xf numFmtId="0" fontId="11" fillId="7" borderId="32" xfId="0" applyFont="1" applyFill="1" applyBorder="1" applyAlignment="1">
      <alignment horizontal="left" vertical="center" wrapText="1"/>
    </xf>
    <xf numFmtId="0" fontId="11" fillId="7" borderId="36" xfId="0" applyFont="1" applyFill="1" applyBorder="1" applyAlignment="1">
      <alignment horizontal="left" vertical="center" wrapText="1"/>
    </xf>
    <xf numFmtId="0" fontId="11" fillId="7" borderId="26" xfId="0" applyFont="1" applyFill="1" applyBorder="1" applyAlignment="1">
      <alignment horizontal="left" vertical="center" wrapText="1"/>
    </xf>
    <xf numFmtId="0" fontId="11" fillId="7" borderId="33" xfId="0" applyFont="1" applyFill="1" applyBorder="1" applyAlignment="1">
      <alignment horizontal="left" vertical="center" wrapText="1"/>
    </xf>
    <xf numFmtId="0" fontId="11" fillId="7" borderId="35" xfId="0" applyFont="1" applyFill="1" applyBorder="1" applyAlignment="1">
      <alignment horizontal="left" vertical="center" wrapText="1"/>
    </xf>
    <xf numFmtId="0" fontId="0" fillId="0" borderId="30" xfId="0" applyFill="1" applyBorder="1" applyAlignment="1">
      <alignment horizontal="center" vertical="center"/>
    </xf>
    <xf numFmtId="0" fontId="0" fillId="0" borderId="31" xfId="0" applyFill="1" applyBorder="1" applyAlignment="1">
      <alignment horizontal="center" vertical="center"/>
    </xf>
    <xf numFmtId="0" fontId="11" fillId="7" borderId="27" xfId="0" applyFont="1" applyFill="1" applyBorder="1" applyAlignment="1">
      <alignment horizontal="left" vertical="center" wrapText="1"/>
    </xf>
    <xf numFmtId="0" fontId="11" fillId="7" borderId="28" xfId="0" applyFont="1" applyFill="1" applyBorder="1" applyAlignment="1">
      <alignment horizontal="left" vertical="center" wrapText="1"/>
    </xf>
    <xf numFmtId="0" fontId="10" fillId="0" borderId="27" xfId="0" applyFont="1" applyBorder="1" applyAlignment="1">
      <alignment horizontal="left" vertical="center" wrapText="1"/>
    </xf>
    <xf numFmtId="0" fontId="11" fillId="0" borderId="25" xfId="0" applyFont="1" applyBorder="1" applyAlignment="1">
      <alignment horizontal="left" vertical="center" wrapText="1"/>
    </xf>
    <xf numFmtId="0" fontId="10" fillId="7" borderId="28" xfId="0" applyFont="1" applyFill="1" applyBorder="1" applyAlignment="1">
      <alignment horizontal="left" vertical="center" wrapText="1"/>
    </xf>
    <xf numFmtId="0" fontId="10" fillId="7" borderId="25" xfId="0" applyFont="1" applyFill="1" applyBorder="1" applyAlignment="1">
      <alignment horizontal="left" vertical="center" wrapText="1"/>
    </xf>
    <xf numFmtId="0" fontId="10" fillId="7" borderId="28" xfId="0" applyFont="1" applyFill="1" applyBorder="1" applyAlignment="1"/>
    <xf numFmtId="0" fontId="10" fillId="7" borderId="25" xfId="0" applyFont="1" applyFill="1" applyBorder="1" applyAlignment="1"/>
    <xf numFmtId="0" fontId="10" fillId="7" borderId="32" xfId="0" applyFont="1" applyFill="1" applyBorder="1" applyAlignment="1">
      <alignment horizontal="left" wrapText="1"/>
    </xf>
    <xf numFmtId="0" fontId="10" fillId="7" borderId="29" xfId="0" applyFont="1" applyFill="1" applyBorder="1" applyAlignment="1">
      <alignment horizontal="left" wrapText="1"/>
    </xf>
    <xf numFmtId="0" fontId="0" fillId="5" borderId="25" xfId="0" applyFill="1" applyBorder="1" applyAlignment="1">
      <alignment horizontal="center" vertical="center"/>
    </xf>
    <xf numFmtId="0" fontId="11" fillId="7" borderId="28" xfId="0" applyFont="1" applyFill="1" applyBorder="1" applyAlignment="1">
      <alignment horizontal="left" wrapText="1"/>
    </xf>
    <xf numFmtId="0" fontId="11" fillId="7" borderId="25" xfId="0" applyFont="1" applyFill="1" applyBorder="1" applyAlignment="1">
      <alignment horizontal="left" wrapText="1"/>
    </xf>
    <xf numFmtId="0" fontId="11" fillId="7" borderId="29" xfId="0" applyFont="1" applyFill="1" applyBorder="1" applyAlignment="1">
      <alignment horizontal="left" vertical="center" wrapText="1"/>
    </xf>
    <xf numFmtId="0" fontId="0" fillId="7" borderId="25" xfId="0" applyFill="1" applyBorder="1" applyAlignment="1">
      <alignment horizontal="left" vertical="center" wrapText="1"/>
    </xf>
    <xf numFmtId="0" fontId="0" fillId="7" borderId="25" xfId="0" applyFill="1" applyBorder="1" applyAlignment="1">
      <alignment horizontal="left" vertical="center"/>
    </xf>
    <xf numFmtId="0" fontId="0" fillId="7" borderId="25" xfId="0" applyFill="1" applyBorder="1" applyAlignment="1">
      <alignment horizontal="center"/>
    </xf>
    <xf numFmtId="0" fontId="11" fillId="7" borderId="32" xfId="0" applyFont="1" applyFill="1" applyBorder="1" applyAlignment="1">
      <alignment horizontal="left" vertical="center"/>
    </xf>
    <xf numFmtId="0" fontId="11" fillId="7" borderId="29" xfId="0" applyFont="1" applyFill="1" applyBorder="1" applyAlignment="1">
      <alignment horizontal="left" vertical="center"/>
    </xf>
    <xf numFmtId="0" fontId="11" fillId="7" borderId="25" xfId="0" applyFont="1" applyFill="1" applyBorder="1" applyAlignment="1">
      <alignment horizontal="left" vertical="center"/>
    </xf>
    <xf numFmtId="0" fontId="0" fillId="0" borderId="25" xfId="0" applyBorder="1" applyAlignment="1">
      <alignment horizontal="center" vertical="center" wrapText="1"/>
    </xf>
    <xf numFmtId="0" fontId="0" fillId="0" borderId="27" xfId="0" applyBorder="1" applyAlignment="1">
      <alignment horizontal="center" vertical="center"/>
    </xf>
    <xf numFmtId="0" fontId="0" fillId="0" borderId="28" xfId="0" applyBorder="1" applyAlignment="1">
      <alignment horizontal="center" vertical="center"/>
    </xf>
    <xf numFmtId="0" fontId="10" fillId="7" borderId="32" xfId="0" applyFont="1" applyFill="1" applyBorder="1" applyAlignment="1">
      <alignment horizontal="left" vertical="center" wrapText="1"/>
    </xf>
    <xf numFmtId="0" fontId="10" fillId="7" borderId="29" xfId="0" applyFont="1" applyFill="1" applyBorder="1" applyAlignment="1">
      <alignment horizontal="left" vertical="center" wrapText="1"/>
    </xf>
    <xf numFmtId="0" fontId="11" fillId="7" borderId="25" xfId="0" applyFont="1" applyFill="1" applyBorder="1" applyAlignment="1">
      <alignment horizontal="left"/>
    </xf>
    <xf numFmtId="0" fontId="11" fillId="7" borderId="37" xfId="0" applyFont="1" applyFill="1" applyBorder="1" applyAlignment="1">
      <alignment horizontal="left" vertical="top" wrapText="1"/>
    </xf>
    <xf numFmtId="0" fontId="39" fillId="0" borderId="45" xfId="0" applyFont="1" applyBorder="1" applyAlignment="1" applyProtection="1">
      <alignment horizontal="left" vertical="center" wrapText="1"/>
    </xf>
    <xf numFmtId="0" fontId="39" fillId="0" borderId="28" xfId="0" applyFont="1" applyBorder="1" applyAlignment="1" applyProtection="1">
      <alignment horizontal="left" vertical="center" wrapText="1"/>
    </xf>
    <xf numFmtId="0" fontId="28" fillId="0" borderId="25" xfId="0" applyFont="1" applyBorder="1" applyAlignment="1">
      <alignment horizontal="center" vertical="center" wrapText="1"/>
    </xf>
    <xf numFmtId="0" fontId="35" fillId="8" borderId="0" xfId="0" applyFont="1" applyFill="1" applyBorder="1" applyAlignment="1" applyProtection="1">
      <alignment horizontal="center"/>
    </xf>
    <xf numFmtId="0" fontId="36" fillId="8" borderId="0" xfId="0" applyFont="1" applyFill="1" applyBorder="1" applyAlignment="1" applyProtection="1">
      <alignment horizontal="center"/>
    </xf>
    <xf numFmtId="0" fontId="37" fillId="2" borderId="16" xfId="0" applyFont="1" applyFill="1" applyBorder="1" applyAlignment="1" applyProtection="1">
      <alignment horizontal="center" vertical="center" wrapText="1"/>
    </xf>
    <xf numFmtId="0" fontId="39" fillId="0" borderId="42" xfId="0" applyFont="1" applyBorder="1" applyAlignment="1">
      <alignment horizontal="left" vertical="top" wrapText="1"/>
    </xf>
    <xf numFmtId="0" fontId="39" fillId="0" borderId="43" xfId="0" applyFont="1" applyBorder="1" applyAlignment="1">
      <alignment horizontal="left" vertical="top" wrapText="1"/>
    </xf>
    <xf numFmtId="0" fontId="39" fillId="0" borderId="45" xfId="0" applyFont="1" applyFill="1" applyBorder="1" applyAlignment="1" applyProtection="1">
      <alignment horizontal="left" vertical="center" wrapText="1"/>
    </xf>
    <xf numFmtId="0" fontId="39" fillId="0" borderId="39" xfId="0" applyFont="1" applyFill="1" applyBorder="1" applyAlignment="1" applyProtection="1">
      <alignment horizontal="left" vertical="center" wrapText="1"/>
    </xf>
    <xf numFmtId="0" fontId="0" fillId="0" borderId="52" xfId="0" applyFill="1" applyBorder="1" applyAlignment="1" applyProtection="1">
      <alignment horizontal="left"/>
    </xf>
    <xf numFmtId="0" fontId="0" fillId="0" borderId="53" xfId="0" applyFill="1" applyBorder="1" applyAlignment="1" applyProtection="1">
      <alignment horizontal="left"/>
    </xf>
    <xf numFmtId="0" fontId="39" fillId="0" borderId="50" xfId="0" applyFont="1" applyBorder="1" applyAlignment="1">
      <alignment horizontal="left" vertical="top" wrapText="1"/>
    </xf>
    <xf numFmtId="0" fontId="39" fillId="0" borderId="51" xfId="0" applyFont="1" applyBorder="1" applyAlignment="1">
      <alignment horizontal="left" vertical="top" wrapText="1"/>
    </xf>
    <xf numFmtId="0" fontId="39" fillId="0" borderId="48" xfId="0" applyFont="1" applyFill="1" applyBorder="1" applyAlignment="1" applyProtection="1">
      <alignment horizontal="left"/>
    </xf>
    <xf numFmtId="0" fontId="39" fillId="0" borderId="49" xfId="0" applyFont="1" applyFill="1" applyBorder="1" applyAlignment="1" applyProtection="1">
      <alignment horizontal="left"/>
    </xf>
    <xf numFmtId="0" fontId="39" fillId="0" borderId="48" xfId="0" applyFont="1" applyBorder="1" applyAlignment="1" applyProtection="1">
      <alignment horizontal="left"/>
    </xf>
    <xf numFmtId="0" fontId="39" fillId="0" borderId="49" xfId="0" applyFont="1" applyBorder="1" applyAlignment="1" applyProtection="1">
      <alignment horizontal="left"/>
    </xf>
    <xf numFmtId="0" fontId="39" fillId="0" borderId="48" xfId="0" applyFont="1" applyBorder="1" applyAlignment="1" applyProtection="1">
      <alignment horizontal="left" vertical="center"/>
    </xf>
    <xf numFmtId="0" fontId="39" fillId="0" borderId="49" xfId="0" applyFont="1" applyBorder="1" applyAlignment="1" applyProtection="1">
      <alignment horizontal="left" vertical="center"/>
    </xf>
    <xf numFmtId="0" fontId="40" fillId="0" borderId="50" xfId="0" applyFont="1" applyBorder="1" applyAlignment="1">
      <alignment horizontal="left" vertical="top" wrapText="1"/>
    </xf>
    <xf numFmtId="0" fontId="40" fillId="0" borderId="51" xfId="0" applyFont="1" applyBorder="1" applyAlignment="1">
      <alignment horizontal="left" vertical="top" wrapText="1"/>
    </xf>
    <xf numFmtId="0" fontId="39" fillId="0" borderId="27" xfId="0" applyFont="1" applyFill="1" applyBorder="1" applyAlignment="1" applyProtection="1">
      <alignment horizontal="left"/>
    </xf>
    <xf numFmtId="0" fontId="39" fillId="0" borderId="28" xfId="0" applyFont="1" applyFill="1" applyBorder="1" applyAlignment="1" applyProtection="1">
      <alignment horizontal="left"/>
    </xf>
    <xf numFmtId="0" fontId="40" fillId="0" borderId="45" xfId="0" applyFont="1" applyBorder="1" applyAlignment="1">
      <alignment horizontal="left" vertical="top" wrapText="1"/>
    </xf>
    <xf numFmtId="0" fontId="40" fillId="0" borderId="28" xfId="0" applyFont="1" applyBorder="1" applyAlignment="1">
      <alignment horizontal="left" vertical="top" wrapText="1"/>
    </xf>
    <xf numFmtId="0" fontId="39" fillId="0" borderId="50" xfId="0" applyFont="1" applyBorder="1" applyAlignment="1" applyProtection="1">
      <alignment horizontal="left" vertical="center"/>
    </xf>
    <xf numFmtId="0" fontId="39" fillId="0" borderId="51" xfId="0" applyFont="1" applyBorder="1" applyAlignment="1" applyProtection="1">
      <alignment horizontal="left" vertical="center"/>
    </xf>
    <xf numFmtId="0" fontId="39" fillId="0" borderId="45" xfId="0" applyFont="1" applyFill="1" applyBorder="1" applyAlignment="1" applyProtection="1">
      <alignment horizontal="left"/>
    </xf>
    <xf numFmtId="0" fontId="39" fillId="0" borderId="45" xfId="0" applyFont="1" applyBorder="1" applyAlignment="1" applyProtection="1">
      <alignment horizontal="left" vertical="top"/>
    </xf>
    <xf numFmtId="0" fontId="39" fillId="0" borderId="28" xfId="0" applyFont="1" applyBorder="1" applyAlignment="1" applyProtection="1">
      <alignment horizontal="left" vertical="top"/>
    </xf>
    <xf numFmtId="0" fontId="40" fillId="0" borderId="45" xfId="0" applyFont="1" applyFill="1" applyBorder="1" applyAlignment="1">
      <alignment horizontal="left" vertical="top" wrapText="1"/>
    </xf>
    <xf numFmtId="0" fontId="40" fillId="0" borderId="28" xfId="0" applyFont="1" applyFill="1" applyBorder="1" applyAlignment="1">
      <alignment horizontal="left" vertical="top" wrapText="1"/>
    </xf>
    <xf numFmtId="0" fontId="40" fillId="0" borderId="50" xfId="0" applyFont="1" applyBorder="1" applyAlignment="1">
      <alignment vertical="top" wrapText="1"/>
    </xf>
    <xf numFmtId="0" fontId="40" fillId="0" borderId="51" xfId="0" applyFont="1" applyBorder="1" applyAlignment="1">
      <alignment vertical="top" wrapText="1"/>
    </xf>
    <xf numFmtId="0" fontId="0" fillId="7" borderId="0" xfId="0" applyFill="1" applyBorder="1" applyAlignment="1"/>
    <xf numFmtId="0" fontId="0" fillId="7" borderId="34" xfId="0" applyFill="1" applyBorder="1" applyAlignment="1"/>
    <xf numFmtId="0" fontId="0" fillId="7" borderId="29" xfId="0" applyFill="1" applyBorder="1" applyAlignment="1">
      <alignment vertical="center"/>
    </xf>
    <xf numFmtId="0" fontId="0" fillId="7" borderId="30" xfId="0" applyFill="1" applyBorder="1" applyAlignment="1">
      <alignment horizontal="left" vertical="center"/>
    </xf>
    <xf numFmtId="0" fontId="0" fillId="7" borderId="27" xfId="0" applyFill="1" applyBorder="1" applyAlignment="1">
      <alignment horizontal="left" vertical="center" wrapText="1"/>
    </xf>
    <xf numFmtId="0" fontId="0" fillId="7" borderId="36" xfId="0" applyFill="1" applyBorder="1" applyAlignment="1">
      <alignment horizontal="left" vertical="center"/>
    </xf>
    <xf numFmtId="0" fontId="0" fillId="7" borderId="0" xfId="0" applyFill="1"/>
    <xf numFmtId="0" fontId="0" fillId="7" borderId="39" xfId="0" applyFill="1" applyBorder="1"/>
    <xf numFmtId="0" fontId="0" fillId="7" borderId="28" xfId="0" applyFill="1" applyBorder="1"/>
    <xf numFmtId="0" fontId="0" fillId="7" borderId="34" xfId="0" applyFill="1" applyBorder="1"/>
    <xf numFmtId="0" fontId="0" fillId="7" borderId="27" xfId="0" applyFill="1" applyBorder="1" applyAlignment="1">
      <alignment horizontal="left" vertical="center"/>
    </xf>
    <xf numFmtId="0" fontId="0" fillId="7" borderId="39" xfId="0" applyFill="1" applyBorder="1" applyAlignment="1">
      <alignment horizontal="left" vertical="center"/>
    </xf>
    <xf numFmtId="0" fontId="0" fillId="7" borderId="28" xfId="0" applyFill="1" applyBorder="1" applyAlignment="1">
      <alignment horizontal="left" vertical="center"/>
    </xf>
    <xf numFmtId="0" fontId="0" fillId="0" borderId="29" xfId="0" applyBorder="1" applyAlignment="1">
      <alignment horizontal="center" vertical="center"/>
    </xf>
    <xf numFmtId="0" fontId="11" fillId="7" borderId="0" xfId="0" applyFont="1" applyFill="1" applyBorder="1" applyAlignment="1">
      <alignment horizontal="left" vertical="center" wrapText="1"/>
    </xf>
    <xf numFmtId="0" fontId="11" fillId="7" borderId="34" xfId="0" applyFont="1" applyFill="1" applyBorder="1" applyAlignment="1">
      <alignment horizontal="left" vertical="center" wrapText="1"/>
    </xf>
    <xf numFmtId="0" fontId="11" fillId="7" borderId="36" xfId="0" applyFont="1" applyFill="1" applyBorder="1" applyAlignment="1">
      <alignment vertical="center"/>
    </xf>
    <xf numFmtId="0" fontId="11" fillId="7" borderId="0" xfId="0" applyFont="1" applyFill="1" applyBorder="1" applyAlignment="1">
      <alignment vertical="center"/>
    </xf>
    <xf numFmtId="0" fontId="11" fillId="7" borderId="33" xfId="0" applyFont="1" applyFill="1" applyBorder="1" applyAlignment="1">
      <alignment vertical="center"/>
    </xf>
    <xf numFmtId="0" fontId="11" fillId="7" borderId="34" xfId="0" applyFont="1" applyFill="1" applyBorder="1" applyAlignment="1">
      <alignment vertical="center"/>
    </xf>
    <xf numFmtId="0" fontId="0" fillId="0" borderId="25" xfId="0" applyBorder="1" applyAlignment="1">
      <alignment horizontal="center"/>
    </xf>
    <xf numFmtId="0" fontId="11" fillId="7" borderId="39" xfId="0" applyFont="1" applyFill="1" applyBorder="1" applyAlignment="1">
      <alignment horizontal="left" vertical="center" wrapText="1"/>
    </xf>
    <xf numFmtId="0" fontId="0" fillId="9" borderId="25" xfId="0" applyFill="1" applyBorder="1" applyAlignment="1">
      <alignment horizontal="center" vertical="center"/>
    </xf>
    <xf numFmtId="0" fontId="0" fillId="7" borderId="38" xfId="0" applyFill="1" applyBorder="1" applyAlignment="1">
      <alignment horizontal="center"/>
    </xf>
    <xf numFmtId="0" fontId="0" fillId="7" borderId="32" xfId="0" applyFill="1" applyBorder="1" applyAlignment="1">
      <alignment horizontal="center"/>
    </xf>
    <xf numFmtId="0" fontId="0" fillId="7" borderId="25" xfId="0" applyFill="1" applyBorder="1" applyAlignment="1">
      <alignment horizontal="left"/>
    </xf>
    <xf numFmtId="0" fontId="0" fillId="0" borderId="25" xfId="0" applyFill="1" applyBorder="1" applyAlignment="1">
      <alignment horizontal="center"/>
    </xf>
    <xf numFmtId="0" fontId="10" fillId="0" borderId="29" xfId="0" applyFont="1" applyBorder="1" applyAlignment="1">
      <alignment horizontal="center" vertical="center" wrapText="1"/>
    </xf>
    <xf numFmtId="0" fontId="10" fillId="0" borderId="30" xfId="0" applyFont="1" applyBorder="1" applyAlignment="1">
      <alignment horizontal="center" vertical="center" wrapText="1"/>
    </xf>
    <xf numFmtId="0" fontId="10" fillId="0" borderId="31" xfId="0" applyFont="1" applyBorder="1" applyAlignment="1">
      <alignment horizontal="center" vertical="center" wrapText="1"/>
    </xf>
    <xf numFmtId="0" fontId="10" fillId="0" borderId="29" xfId="0" applyFont="1" applyBorder="1" applyAlignment="1">
      <alignment horizontal="left" vertical="center" wrapText="1"/>
    </xf>
    <xf numFmtId="0" fontId="10" fillId="0" borderId="30" xfId="0" applyFont="1" applyBorder="1" applyAlignment="1">
      <alignment horizontal="left" vertical="center" wrapText="1"/>
    </xf>
    <xf numFmtId="0" fontId="10" fillId="0" borderId="31" xfId="0" applyFont="1" applyBorder="1" applyAlignment="1">
      <alignment horizontal="left" vertical="center" wrapText="1"/>
    </xf>
    <xf numFmtId="0" fontId="11" fillId="7" borderId="25" xfId="0" applyFont="1" applyFill="1" applyBorder="1" applyAlignment="1">
      <alignment vertical="center"/>
    </xf>
    <xf numFmtId="9" fontId="0" fillId="6" borderId="28" xfId="1" applyFont="1" applyFill="1" applyBorder="1" applyAlignment="1">
      <alignment horizontal="center" vertical="center"/>
    </xf>
    <xf numFmtId="0" fontId="0" fillId="6" borderId="28" xfId="0" applyFill="1" applyBorder="1" applyAlignment="1">
      <alignment horizontal="center" vertical="center"/>
    </xf>
    <xf numFmtId="0" fontId="39" fillId="7" borderId="25" xfId="0" applyFont="1" applyFill="1" applyBorder="1" applyAlignment="1" applyProtection="1">
      <alignment horizontal="left"/>
    </xf>
    <xf numFmtId="0" fontId="11" fillId="7" borderId="38" xfId="0" applyFont="1" applyFill="1" applyBorder="1" applyAlignment="1">
      <alignment horizontal="center" vertical="top" wrapText="1"/>
    </xf>
    <xf numFmtId="0" fontId="11" fillId="7" borderId="37" xfId="0" applyFont="1" applyFill="1" applyBorder="1" applyAlignment="1">
      <alignment horizontal="center" vertical="top" wrapText="1"/>
    </xf>
    <xf numFmtId="0" fontId="11" fillId="7" borderId="38" xfId="0" applyFont="1" applyFill="1" applyBorder="1" applyAlignment="1">
      <alignment horizontal="left" vertical="top" wrapText="1"/>
    </xf>
    <xf numFmtId="0" fontId="11" fillId="7" borderId="36" xfId="0" applyFont="1" applyFill="1" applyBorder="1" applyAlignment="1">
      <alignment horizontal="left" vertical="top" wrapText="1"/>
    </xf>
    <xf numFmtId="0" fontId="11" fillId="7" borderId="0" xfId="0" applyFont="1" applyFill="1" applyBorder="1" applyAlignment="1">
      <alignment horizontal="left" vertical="top" wrapText="1"/>
    </xf>
    <xf numFmtId="0" fontId="11" fillId="7" borderId="26" xfId="0" applyFont="1" applyFill="1" applyBorder="1" applyAlignment="1">
      <alignment horizontal="left" vertical="top" wrapText="1"/>
    </xf>
    <xf numFmtId="0" fontId="11" fillId="7" borderId="37" xfId="0" applyFont="1" applyFill="1" applyBorder="1" applyAlignment="1">
      <alignment horizontal="left" vertical="center" wrapText="1"/>
    </xf>
    <xf numFmtId="0" fontId="11" fillId="7" borderId="27" xfId="0" applyFont="1" applyFill="1" applyBorder="1" applyAlignment="1">
      <alignment horizontal="left" vertical="top" wrapText="1"/>
    </xf>
    <xf numFmtId="0" fontId="11" fillId="7" borderId="39" xfId="0" applyFont="1" applyFill="1" applyBorder="1" applyAlignment="1">
      <alignment horizontal="left" vertical="top" wrapText="1"/>
    </xf>
    <xf numFmtId="0" fontId="11" fillId="0" borderId="29" xfId="0" applyFont="1" applyBorder="1" applyAlignment="1">
      <alignment horizontal="center" vertical="center" wrapText="1"/>
    </xf>
    <xf numFmtId="0" fontId="11" fillId="0" borderId="30" xfId="0" applyFont="1" applyBorder="1" applyAlignment="1">
      <alignment horizontal="center" vertical="center" wrapText="1"/>
    </xf>
    <xf numFmtId="0" fontId="11" fillId="0" borderId="31" xfId="0" applyFont="1" applyBorder="1" applyAlignment="1">
      <alignment horizontal="center" vertical="center" wrapText="1"/>
    </xf>
    <xf numFmtId="0" fontId="11" fillId="7" borderId="0" xfId="0" applyFont="1" applyFill="1" applyBorder="1" applyAlignment="1">
      <alignment vertical="top" wrapText="1"/>
    </xf>
    <xf numFmtId="0" fontId="11" fillId="7" borderId="34" xfId="0" applyFont="1" applyFill="1" applyBorder="1" applyAlignment="1">
      <alignment vertical="top" wrapText="1"/>
    </xf>
    <xf numFmtId="0" fontId="39" fillId="7" borderId="25" xfId="0" applyFont="1" applyFill="1" applyBorder="1" applyAlignment="1" applyProtection="1">
      <alignment horizontal="left" vertical="center" wrapText="1"/>
    </xf>
    <xf numFmtId="0" fontId="11" fillId="7" borderId="36" xfId="0" applyFont="1" applyFill="1" applyBorder="1" applyAlignment="1">
      <alignment vertical="top" wrapText="1"/>
    </xf>
    <xf numFmtId="0" fontId="11" fillId="7" borderId="33" xfId="0" applyFont="1" applyFill="1" applyBorder="1" applyAlignment="1">
      <alignment vertical="top" wrapText="1"/>
    </xf>
    <xf numFmtId="0" fontId="40" fillId="7" borderId="45" xfId="0" applyFont="1" applyFill="1" applyBorder="1" applyAlignment="1">
      <alignment horizontal="left" vertical="top" wrapText="1"/>
    </xf>
    <xf numFmtId="0" fontId="40" fillId="7" borderId="39" xfId="0" applyFont="1" applyFill="1" applyBorder="1" applyAlignment="1">
      <alignment horizontal="left" vertical="top" wrapText="1"/>
    </xf>
    <xf numFmtId="0" fontId="40" fillId="7" borderId="28" xfId="0" applyFont="1" applyFill="1" applyBorder="1" applyAlignment="1">
      <alignment horizontal="left" vertical="top" wrapText="1"/>
    </xf>
    <xf numFmtId="9" fontId="30" fillId="6" borderId="25" xfId="0" applyNumberFormat="1" applyFont="1" applyFill="1" applyBorder="1" applyAlignment="1">
      <alignment horizontal="center" vertical="center"/>
    </xf>
    <xf numFmtId="0" fontId="0" fillId="7" borderId="36" xfId="0" applyFill="1" applyBorder="1" applyAlignment="1"/>
    <xf numFmtId="0" fontId="0" fillId="7" borderId="33" xfId="0" applyFill="1" applyBorder="1" applyAlignment="1"/>
    <xf numFmtId="0" fontId="0" fillId="7" borderId="27" xfId="0" applyFill="1" applyBorder="1" applyAlignment="1"/>
    <xf numFmtId="0" fontId="0" fillId="7" borderId="39" xfId="0" applyFill="1" applyBorder="1" applyAlignment="1"/>
    <xf numFmtId="0" fontId="39" fillId="7" borderId="39" xfId="0" applyFont="1" applyFill="1" applyBorder="1" applyAlignment="1" applyProtection="1">
      <alignment horizontal="left" vertical="center"/>
    </xf>
    <xf numFmtId="0" fontId="39" fillId="7" borderId="28" xfId="0" applyFont="1" applyFill="1" applyBorder="1" applyAlignment="1" applyProtection="1">
      <alignment horizontal="left" vertical="center"/>
    </xf>
    <xf numFmtId="0" fontId="39" fillId="7" borderId="25" xfId="0" applyFont="1" applyFill="1" applyBorder="1" applyAlignment="1" applyProtection="1">
      <alignment horizontal="left" vertical="center"/>
    </xf>
    <xf numFmtId="0" fontId="39" fillId="7" borderId="25" xfId="0" applyFont="1" applyFill="1" applyBorder="1" applyAlignment="1" applyProtection="1">
      <alignment horizontal="left" vertical="center"/>
    </xf>
    <xf numFmtId="0" fontId="39" fillId="7" borderId="25" xfId="0" applyFont="1" applyFill="1" applyBorder="1" applyAlignment="1" applyProtection="1">
      <alignment vertical="center"/>
    </xf>
    <xf numFmtId="0" fontId="39" fillId="7" borderId="27" xfId="0" applyFont="1" applyFill="1" applyBorder="1" applyAlignment="1" applyProtection="1">
      <alignment horizontal="left" vertical="center"/>
    </xf>
    <xf numFmtId="0" fontId="0" fillId="0" borderId="0" xfId="0" applyFill="1" applyBorder="1"/>
    <xf numFmtId="1" fontId="0" fillId="0" borderId="0" xfId="0" applyNumberFormat="1" applyFill="1" applyBorder="1" applyAlignment="1" applyProtection="1">
      <alignment horizontal="center" vertical="center"/>
      <protection locked="0"/>
    </xf>
    <xf numFmtId="0" fontId="11" fillId="7" borderId="25" xfId="0" applyFont="1" applyFill="1" applyBorder="1" applyAlignment="1" applyProtection="1">
      <alignment horizontal="left" vertical="center" wrapText="1"/>
    </xf>
    <xf numFmtId="0" fontId="12" fillId="0" borderId="29" xfId="0" applyFont="1" applyBorder="1" applyAlignment="1">
      <alignment horizontal="center" vertical="center" wrapText="1"/>
    </xf>
    <xf numFmtId="0" fontId="12" fillId="0" borderId="30" xfId="0" applyFont="1" applyBorder="1" applyAlignment="1">
      <alignment horizontal="center" vertical="center" wrapText="1"/>
    </xf>
    <xf numFmtId="0" fontId="12" fillId="0" borderId="31" xfId="0" applyFont="1" applyBorder="1" applyAlignment="1">
      <alignment horizontal="center" vertical="center" wrapText="1"/>
    </xf>
    <xf numFmtId="0" fontId="0" fillId="7" borderId="0" xfId="0" applyFill="1" applyAlignment="1"/>
    <xf numFmtId="1" fontId="0" fillId="0" borderId="25" xfId="0" applyNumberFormat="1" applyBorder="1" applyAlignment="1">
      <alignment horizontal="center" vertical="center"/>
    </xf>
    <xf numFmtId="2" fontId="0" fillId="0" borderId="25" xfId="0" applyNumberFormat="1" applyFill="1" applyBorder="1" applyAlignment="1">
      <alignment horizontal="center" vertical="center"/>
    </xf>
  </cellXfs>
  <cellStyles count="3">
    <cellStyle name="Comma" xfId="2" builtinId="3"/>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G14"/>
  <sheetViews>
    <sheetView tabSelected="1" workbookViewId="0">
      <selection activeCell="B4" sqref="B4"/>
    </sheetView>
  </sheetViews>
  <sheetFormatPr defaultRowHeight="15" x14ac:dyDescent="0.25"/>
  <cols>
    <col min="1" max="3" width="20.28515625" customWidth="1"/>
    <col min="4" max="4" width="34.140625" customWidth="1"/>
    <col min="5" max="5" width="22.85546875" customWidth="1"/>
    <col min="7" max="7" width="25.28515625" customWidth="1"/>
    <col min="8" max="8" width="43.7109375" customWidth="1"/>
  </cols>
  <sheetData>
    <row r="1" spans="1:7" ht="15.75" thickBot="1" x14ac:dyDescent="0.3">
      <c r="G1" s="1"/>
    </row>
    <row r="2" spans="1:7" ht="23.25" customHeight="1" x14ac:dyDescent="0.25">
      <c r="A2" s="29" t="s">
        <v>7</v>
      </c>
      <c r="B2" s="30" t="s">
        <v>8</v>
      </c>
      <c r="C2" s="31" t="s">
        <v>9</v>
      </c>
      <c r="D2" s="180" t="s">
        <v>311</v>
      </c>
      <c r="E2" s="178" t="s">
        <v>314</v>
      </c>
    </row>
    <row r="3" spans="1:7" ht="17.25" customHeight="1" thickBot="1" x14ac:dyDescent="0.3">
      <c r="A3" s="32">
        <v>0.1</v>
      </c>
      <c r="B3" s="33">
        <v>0.75</v>
      </c>
      <c r="C3" s="34">
        <v>0.15</v>
      </c>
      <c r="D3" s="181"/>
      <c r="E3" s="179"/>
    </row>
    <row r="4" spans="1:7" ht="51" customHeight="1" thickTop="1" thickBot="1" x14ac:dyDescent="0.3">
      <c r="A4" s="36" t="e">
        <f>ED!F28</f>
        <v>#DIV/0!</v>
      </c>
      <c r="B4" s="37" t="e">
        <f>Prodi!G107</f>
        <v>#DIV/0!</v>
      </c>
      <c r="C4" s="38" t="e">
        <f>Pengelola!G50</f>
        <v>#VALUE!</v>
      </c>
      <c r="D4" s="39" t="e">
        <f>(A4*A3)+(B4*B3)+(C4*C3)</f>
        <v>#DIV/0!</v>
      </c>
      <c r="E4" s="35"/>
    </row>
    <row r="5" spans="1:7" ht="31.5" customHeight="1" x14ac:dyDescent="0.25"/>
    <row r="6" spans="1:7" ht="24.75" customHeight="1" x14ac:dyDescent="0.25">
      <c r="A6" s="1" t="s">
        <v>0</v>
      </c>
      <c r="D6" s="1" t="s">
        <v>1</v>
      </c>
    </row>
    <row r="7" spans="1:7" ht="24.75" customHeight="1" x14ac:dyDescent="0.25">
      <c r="A7" s="1" t="s">
        <v>2</v>
      </c>
      <c r="D7" s="1" t="s">
        <v>3</v>
      </c>
    </row>
    <row r="8" spans="1:7" ht="24.75" customHeight="1" x14ac:dyDescent="0.25">
      <c r="A8" s="1" t="s">
        <v>4</v>
      </c>
      <c r="D8" s="1" t="s">
        <v>5</v>
      </c>
    </row>
    <row r="9" spans="1:7" ht="24.75" customHeight="1" x14ac:dyDescent="0.25">
      <c r="A9" s="2" t="s">
        <v>6</v>
      </c>
    </row>
    <row r="10" spans="1:7" x14ac:dyDescent="0.25">
      <c r="A10" s="1"/>
    </row>
    <row r="11" spans="1:7" x14ac:dyDescent="0.25">
      <c r="A11" s="28" t="s">
        <v>312</v>
      </c>
    </row>
    <row r="12" spans="1:7" x14ac:dyDescent="0.25">
      <c r="A12" t="s">
        <v>309</v>
      </c>
    </row>
    <row r="13" spans="1:7" x14ac:dyDescent="0.25">
      <c r="A13" t="s">
        <v>310</v>
      </c>
    </row>
    <row r="14" spans="1:7" x14ac:dyDescent="0.25">
      <c r="A14" t="s">
        <v>313</v>
      </c>
    </row>
  </sheetData>
  <mergeCells count="2">
    <mergeCell ref="E2:E3"/>
    <mergeCell ref="D2:D3"/>
  </mergeCells>
  <pageMargins left="0.7" right="0.7" top="0.75" bottom="0.75" header="0.3" footer="0.3"/>
  <pageSetup orientation="portrait" horizontalDpi="4294967293" vertic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G31"/>
  <sheetViews>
    <sheetView zoomScale="80" zoomScaleNormal="80" workbookViewId="0">
      <selection activeCell="D7" sqref="D7"/>
    </sheetView>
  </sheetViews>
  <sheetFormatPr defaultRowHeight="15" x14ac:dyDescent="0.25"/>
  <cols>
    <col min="2" max="2" width="26" customWidth="1"/>
    <col min="7" max="7" width="15" customWidth="1"/>
  </cols>
  <sheetData>
    <row r="1" spans="1:7" ht="15.75" x14ac:dyDescent="0.25">
      <c r="A1" s="3" t="s">
        <v>10</v>
      </c>
    </row>
    <row r="3" spans="1:7" ht="15.75" thickBot="1" x14ac:dyDescent="0.3">
      <c r="A3" s="1"/>
    </row>
    <row r="4" spans="1:7" ht="15.75" thickBot="1" x14ac:dyDescent="0.3">
      <c r="A4" s="191" t="s">
        <v>11</v>
      </c>
      <c r="B4" s="191" t="s">
        <v>12</v>
      </c>
      <c r="C4" s="191" t="s">
        <v>13</v>
      </c>
      <c r="D4" s="203" t="s">
        <v>14</v>
      </c>
      <c r="E4" s="204"/>
      <c r="F4" s="205"/>
      <c r="G4" s="4" t="s">
        <v>15</v>
      </c>
    </row>
    <row r="5" spans="1:7" ht="30.75" thickBot="1" x14ac:dyDescent="0.3">
      <c r="A5" s="193"/>
      <c r="B5" s="193"/>
      <c r="C5" s="193"/>
      <c r="D5" s="5" t="s">
        <v>17</v>
      </c>
      <c r="E5" s="5" t="s">
        <v>18</v>
      </c>
      <c r="F5" s="5" t="s">
        <v>19</v>
      </c>
      <c r="G5" s="5" t="s">
        <v>16</v>
      </c>
    </row>
    <row r="6" spans="1:7" ht="79.5" thickBot="1" x14ac:dyDescent="0.3">
      <c r="A6" s="6">
        <v>1</v>
      </c>
      <c r="B6" s="7" t="s">
        <v>20</v>
      </c>
      <c r="C6" s="8"/>
      <c r="D6" s="8"/>
      <c r="E6" s="8"/>
      <c r="F6" s="8"/>
      <c r="G6" s="8"/>
    </row>
    <row r="7" spans="1:7" ht="126.75" thickBot="1" x14ac:dyDescent="0.3">
      <c r="A7" s="9" t="s">
        <v>21</v>
      </c>
      <c r="B7" s="10" t="s">
        <v>22</v>
      </c>
      <c r="C7" s="11" t="s">
        <v>23</v>
      </c>
      <c r="D7" s="5"/>
      <c r="E7" s="5"/>
      <c r="F7" s="5" t="e">
        <f>AVERAGE(D7:E7)</f>
        <v>#DIV/0!</v>
      </c>
      <c r="G7" s="12"/>
    </row>
    <row r="8" spans="1:7" ht="95.25" thickBot="1" x14ac:dyDescent="0.3">
      <c r="A8" s="9" t="s">
        <v>24</v>
      </c>
      <c r="B8" s="10" t="s">
        <v>25</v>
      </c>
      <c r="C8" s="11" t="s">
        <v>23</v>
      </c>
      <c r="D8" s="5"/>
      <c r="E8" s="5"/>
      <c r="F8" s="5" t="e">
        <f>AVERAGE(D8:E8)</f>
        <v>#DIV/0!</v>
      </c>
      <c r="G8" s="12"/>
    </row>
    <row r="9" spans="1:7" ht="95.25" thickBot="1" x14ac:dyDescent="0.3">
      <c r="A9" s="6">
        <v>2</v>
      </c>
      <c r="B9" s="7" t="s">
        <v>26</v>
      </c>
      <c r="C9" s="8"/>
      <c r="D9" s="8"/>
      <c r="E9" s="8"/>
      <c r="F9" s="8"/>
      <c r="G9" s="8"/>
    </row>
    <row r="10" spans="1:7" x14ac:dyDescent="0.25">
      <c r="A10" s="191" t="s">
        <v>21</v>
      </c>
      <c r="B10" s="197" t="s">
        <v>27</v>
      </c>
      <c r="C10" s="200">
        <v>7.5</v>
      </c>
      <c r="D10" s="191"/>
      <c r="E10" s="191"/>
      <c r="F10" s="191" t="e">
        <f t="shared" ref="F10:F19" si="0">AVERAGE(D10:E10)</f>
        <v>#DIV/0!</v>
      </c>
      <c r="G10" s="182"/>
    </row>
    <row r="11" spans="1:7" ht="15.75" thickBot="1" x14ac:dyDescent="0.3">
      <c r="A11" s="193"/>
      <c r="B11" s="199"/>
      <c r="C11" s="202"/>
      <c r="D11" s="193"/>
      <c r="E11" s="193"/>
      <c r="F11" s="193"/>
      <c r="G11" s="184"/>
    </row>
    <row r="12" spans="1:7" ht="79.5" thickBot="1" x14ac:dyDescent="0.3">
      <c r="A12" s="9" t="s">
        <v>24</v>
      </c>
      <c r="B12" s="10" t="s">
        <v>28</v>
      </c>
      <c r="C12" s="11">
        <v>7.5</v>
      </c>
      <c r="D12" s="5"/>
      <c r="E12" s="5"/>
      <c r="F12" s="5" t="e">
        <f t="shared" si="0"/>
        <v>#DIV/0!</v>
      </c>
      <c r="G12" s="12"/>
    </row>
    <row r="13" spans="1:7" ht="48" thickBot="1" x14ac:dyDescent="0.3">
      <c r="A13" s="9" t="s">
        <v>29</v>
      </c>
      <c r="B13" s="10" t="s">
        <v>30</v>
      </c>
      <c r="C13" s="11">
        <v>7.5</v>
      </c>
      <c r="D13" s="5"/>
      <c r="E13" s="5"/>
      <c r="F13" s="5" t="e">
        <f t="shared" si="0"/>
        <v>#DIV/0!</v>
      </c>
      <c r="G13" s="12"/>
    </row>
    <row r="14" spans="1:7" ht="95.25" thickBot="1" x14ac:dyDescent="0.3">
      <c r="A14" s="9" t="s">
        <v>31</v>
      </c>
      <c r="B14" s="10" t="s">
        <v>32</v>
      </c>
      <c r="C14" s="11">
        <v>7.5</v>
      </c>
      <c r="D14" s="5"/>
      <c r="E14" s="5"/>
      <c r="F14" s="5" t="e">
        <f t="shared" si="0"/>
        <v>#DIV/0!</v>
      </c>
      <c r="G14" s="12"/>
    </row>
    <row r="15" spans="1:7" ht="32.25" thickBot="1" x14ac:dyDescent="0.3">
      <c r="A15" s="6">
        <v>3</v>
      </c>
      <c r="B15" s="7" t="s">
        <v>33</v>
      </c>
      <c r="C15" s="8"/>
      <c r="D15" s="8"/>
      <c r="E15" s="8"/>
      <c r="F15" s="8"/>
      <c r="G15" s="8"/>
    </row>
    <row r="16" spans="1:7" ht="63.75" thickBot="1" x14ac:dyDescent="0.3">
      <c r="A16" s="9" t="s">
        <v>21</v>
      </c>
      <c r="B16" s="10" t="s">
        <v>34</v>
      </c>
      <c r="C16" s="11">
        <v>10</v>
      </c>
      <c r="D16" s="5"/>
      <c r="E16" s="5"/>
      <c r="F16" s="5" t="e">
        <f t="shared" si="0"/>
        <v>#DIV/0!</v>
      </c>
      <c r="G16" s="12"/>
    </row>
    <row r="17" spans="1:7" x14ac:dyDescent="0.25">
      <c r="A17" s="191" t="s">
        <v>24</v>
      </c>
      <c r="B17" s="197" t="s">
        <v>35</v>
      </c>
      <c r="C17" s="200">
        <v>5</v>
      </c>
      <c r="D17" s="191"/>
      <c r="E17" s="191"/>
      <c r="F17" s="191" t="e">
        <f t="shared" si="0"/>
        <v>#DIV/0!</v>
      </c>
      <c r="G17" s="182"/>
    </row>
    <row r="18" spans="1:7" ht="15.75" thickBot="1" x14ac:dyDescent="0.3">
      <c r="A18" s="193"/>
      <c r="B18" s="199"/>
      <c r="C18" s="202"/>
      <c r="D18" s="193"/>
      <c r="E18" s="193"/>
      <c r="F18" s="193"/>
      <c r="G18" s="184"/>
    </row>
    <row r="19" spans="1:7" x14ac:dyDescent="0.25">
      <c r="A19" s="191" t="s">
        <v>29</v>
      </c>
      <c r="B19" s="197" t="s">
        <v>36</v>
      </c>
      <c r="C19" s="200">
        <v>5</v>
      </c>
      <c r="D19" s="191"/>
      <c r="E19" s="191"/>
      <c r="F19" s="191" t="e">
        <f t="shared" si="0"/>
        <v>#DIV/0!</v>
      </c>
      <c r="G19" s="182"/>
    </row>
    <row r="20" spans="1:7" ht="15.75" thickBot="1" x14ac:dyDescent="0.3">
      <c r="A20" s="193"/>
      <c r="B20" s="199"/>
      <c r="C20" s="202"/>
      <c r="D20" s="193"/>
      <c r="E20" s="193"/>
      <c r="F20" s="193"/>
      <c r="G20" s="184"/>
    </row>
    <row r="21" spans="1:7" ht="48" thickBot="1" x14ac:dyDescent="0.3">
      <c r="A21" s="6">
        <v>4</v>
      </c>
      <c r="B21" s="7" t="s">
        <v>37</v>
      </c>
      <c r="C21" s="8"/>
      <c r="D21" s="8"/>
      <c r="E21" s="8"/>
      <c r="F21" s="8"/>
      <c r="G21" s="8"/>
    </row>
    <row r="22" spans="1:7" x14ac:dyDescent="0.25">
      <c r="A22" s="191" t="s">
        <v>21</v>
      </c>
      <c r="B22" s="197" t="s">
        <v>38</v>
      </c>
      <c r="C22" s="200" t="s">
        <v>23</v>
      </c>
      <c r="D22" s="191"/>
      <c r="E22" s="191"/>
      <c r="F22" s="191" t="e">
        <v>#DIV/0!</v>
      </c>
      <c r="G22" s="182"/>
    </row>
    <row r="23" spans="1:7" x14ac:dyDescent="0.25">
      <c r="A23" s="192"/>
      <c r="B23" s="198"/>
      <c r="C23" s="201"/>
      <c r="D23" s="192"/>
      <c r="E23" s="192"/>
      <c r="F23" s="192"/>
      <c r="G23" s="183"/>
    </row>
    <row r="24" spans="1:7" ht="15.75" thickBot="1" x14ac:dyDescent="0.3">
      <c r="A24" s="193"/>
      <c r="B24" s="199"/>
      <c r="C24" s="202"/>
      <c r="D24" s="193"/>
      <c r="E24" s="193"/>
      <c r="F24" s="193"/>
      <c r="G24" s="184"/>
    </row>
    <row r="25" spans="1:7" x14ac:dyDescent="0.25">
      <c r="A25" s="191" t="s">
        <v>24</v>
      </c>
      <c r="B25" s="197" t="s">
        <v>39</v>
      </c>
      <c r="C25" s="200" t="s">
        <v>23</v>
      </c>
      <c r="D25" s="191"/>
      <c r="E25" s="191"/>
      <c r="F25" s="191" t="e">
        <v>#DIV/0!</v>
      </c>
      <c r="G25" s="182"/>
    </row>
    <row r="26" spans="1:7" x14ac:dyDescent="0.25">
      <c r="A26" s="192"/>
      <c r="B26" s="198"/>
      <c r="C26" s="201"/>
      <c r="D26" s="192"/>
      <c r="E26" s="192"/>
      <c r="F26" s="192"/>
      <c r="G26" s="183"/>
    </row>
    <row r="27" spans="1:7" ht="15.75" thickBot="1" x14ac:dyDescent="0.3">
      <c r="A27" s="193"/>
      <c r="B27" s="199"/>
      <c r="C27" s="202"/>
      <c r="D27" s="193"/>
      <c r="E27" s="193"/>
      <c r="F27" s="193"/>
      <c r="G27" s="184"/>
    </row>
    <row r="28" spans="1:7" x14ac:dyDescent="0.25">
      <c r="A28" s="185"/>
      <c r="B28" s="186"/>
      <c r="C28" s="191">
        <v>100</v>
      </c>
      <c r="D28" s="191"/>
      <c r="E28" s="191"/>
      <c r="F28" s="191" t="e">
        <f>SUM(F7:F27)</f>
        <v>#DIV/0!</v>
      </c>
      <c r="G28" s="194"/>
    </row>
    <row r="29" spans="1:7" ht="15.75" customHeight="1" x14ac:dyDescent="0.25">
      <c r="A29" s="187" t="s">
        <v>40</v>
      </c>
      <c r="B29" s="188"/>
      <c r="C29" s="192"/>
      <c r="D29" s="192"/>
      <c r="E29" s="192"/>
      <c r="F29" s="192"/>
      <c r="G29" s="195"/>
    </row>
    <row r="30" spans="1:7" ht="15.75" thickBot="1" x14ac:dyDescent="0.3">
      <c r="A30" s="189"/>
      <c r="B30" s="190"/>
      <c r="C30" s="193"/>
      <c r="D30" s="193"/>
      <c r="E30" s="193"/>
      <c r="F30" s="193"/>
      <c r="G30" s="196"/>
    </row>
    <row r="31" spans="1:7" x14ac:dyDescent="0.25">
      <c r="A31" s="2" t="s">
        <v>41</v>
      </c>
    </row>
  </sheetData>
  <mergeCells count="47">
    <mergeCell ref="A4:A5"/>
    <mergeCell ref="B4:B5"/>
    <mergeCell ref="C4:C5"/>
    <mergeCell ref="D4:F4"/>
    <mergeCell ref="A10:A11"/>
    <mergeCell ref="B10:B11"/>
    <mergeCell ref="C10:C11"/>
    <mergeCell ref="D10:D11"/>
    <mergeCell ref="E10:E11"/>
    <mergeCell ref="F10:F11"/>
    <mergeCell ref="G10:G11"/>
    <mergeCell ref="A17:A18"/>
    <mergeCell ref="B17:B18"/>
    <mergeCell ref="C17:C18"/>
    <mergeCell ref="D17:D18"/>
    <mergeCell ref="E17:E18"/>
    <mergeCell ref="F17:F18"/>
    <mergeCell ref="G17:G18"/>
    <mergeCell ref="G19:G20"/>
    <mergeCell ref="A22:A24"/>
    <mergeCell ref="B22:B24"/>
    <mergeCell ref="C22:C24"/>
    <mergeCell ref="D22:D24"/>
    <mergeCell ref="E22:E24"/>
    <mergeCell ref="F22:F24"/>
    <mergeCell ref="G22:G24"/>
    <mergeCell ref="A19:A20"/>
    <mergeCell ref="B19:B20"/>
    <mergeCell ref="C19:C20"/>
    <mergeCell ref="D19:D20"/>
    <mergeCell ref="E19:E20"/>
    <mergeCell ref="F19:F20"/>
    <mergeCell ref="G25:G27"/>
    <mergeCell ref="A28:B28"/>
    <mergeCell ref="A29:B29"/>
    <mergeCell ref="A30:B30"/>
    <mergeCell ref="C28:C30"/>
    <mergeCell ref="D28:D30"/>
    <mergeCell ref="E28:E30"/>
    <mergeCell ref="F28:F30"/>
    <mergeCell ref="G28:G30"/>
    <mergeCell ref="A25:A27"/>
    <mergeCell ref="B25:B27"/>
    <mergeCell ref="C25:C27"/>
    <mergeCell ref="D25:D27"/>
    <mergeCell ref="E25:E27"/>
    <mergeCell ref="F25:F27"/>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H108"/>
  <sheetViews>
    <sheetView zoomScaleNormal="100" workbookViewId="0">
      <selection activeCell="A2" sqref="A2"/>
    </sheetView>
  </sheetViews>
  <sheetFormatPr defaultRowHeight="15" x14ac:dyDescent="0.25"/>
  <cols>
    <col min="3" max="3" width="32.7109375" customWidth="1"/>
    <col min="4" max="4" width="34.140625" customWidth="1"/>
    <col min="5" max="7" width="11.28515625" customWidth="1"/>
  </cols>
  <sheetData>
    <row r="1" spans="1:7" ht="15.75" x14ac:dyDescent="0.25">
      <c r="A1" s="3" t="s">
        <v>42</v>
      </c>
    </row>
    <row r="2" spans="1:7" ht="15.75" thickBot="1" x14ac:dyDescent="0.3"/>
    <row r="3" spans="1:7" ht="15.75" thickBot="1" x14ac:dyDescent="0.3">
      <c r="A3" s="13" t="s">
        <v>43</v>
      </c>
      <c r="B3" s="14" t="s">
        <v>44</v>
      </c>
      <c r="C3" s="14" t="s">
        <v>45</v>
      </c>
      <c r="D3" s="14" t="s">
        <v>46</v>
      </c>
      <c r="E3" s="14" t="s">
        <v>47</v>
      </c>
      <c r="F3" s="14" t="s">
        <v>48</v>
      </c>
      <c r="G3" s="14" t="s">
        <v>308</v>
      </c>
    </row>
    <row r="4" spans="1:7" ht="39" thickBot="1" x14ac:dyDescent="0.3">
      <c r="A4" s="15">
        <v>1</v>
      </c>
      <c r="B4" s="16" t="s">
        <v>49</v>
      </c>
      <c r="C4" s="17" t="s">
        <v>50</v>
      </c>
      <c r="D4" s="18"/>
      <c r="E4" s="19">
        <v>0.76</v>
      </c>
      <c r="F4" s="19">
        <f>'Simulasi Prodi'!H3</f>
        <v>0</v>
      </c>
      <c r="G4" s="18">
        <f>E4*F4</f>
        <v>0</v>
      </c>
    </row>
    <row r="5" spans="1:7" ht="39" thickBot="1" x14ac:dyDescent="0.3">
      <c r="A5" s="20">
        <v>2</v>
      </c>
      <c r="B5" s="16" t="s">
        <v>51</v>
      </c>
      <c r="C5" s="21" t="s">
        <v>52</v>
      </c>
      <c r="D5" s="18"/>
      <c r="E5" s="19">
        <v>1.52</v>
      </c>
      <c r="F5" s="19">
        <f>'Simulasi Prodi'!H4</f>
        <v>0</v>
      </c>
      <c r="G5" s="18">
        <f>E5*F5</f>
        <v>0</v>
      </c>
    </row>
    <row r="6" spans="1:7" ht="64.5" thickBot="1" x14ac:dyDescent="0.3">
      <c r="A6" s="20">
        <v>3</v>
      </c>
      <c r="B6" s="16">
        <v>1.2</v>
      </c>
      <c r="C6" s="17" t="s">
        <v>53</v>
      </c>
      <c r="D6" s="18"/>
      <c r="E6" s="19">
        <v>0.76</v>
      </c>
      <c r="F6" s="19">
        <f>'Simulasi Prodi'!H5</f>
        <v>0</v>
      </c>
      <c r="G6" s="18">
        <f t="shared" ref="G6:G68" si="0">E6*F6</f>
        <v>0</v>
      </c>
    </row>
    <row r="7" spans="1:7" ht="77.25" thickBot="1" x14ac:dyDescent="0.3">
      <c r="A7" s="20">
        <v>4</v>
      </c>
      <c r="B7" s="16">
        <v>2.1</v>
      </c>
      <c r="C7" s="17" t="s">
        <v>54</v>
      </c>
      <c r="D7" s="18"/>
      <c r="E7" s="19">
        <v>1.1000000000000001</v>
      </c>
      <c r="F7" s="19">
        <f>'Simulasi Prodi'!H6</f>
        <v>0</v>
      </c>
      <c r="G7" s="18">
        <f t="shared" si="0"/>
        <v>0</v>
      </c>
    </row>
    <row r="8" spans="1:7" ht="90" thickBot="1" x14ac:dyDescent="0.3">
      <c r="A8" s="20">
        <v>5</v>
      </c>
      <c r="B8" s="16">
        <v>2.2000000000000002</v>
      </c>
      <c r="C8" s="17" t="s">
        <v>55</v>
      </c>
      <c r="D8" s="18"/>
      <c r="E8" s="19">
        <v>0.55000000000000004</v>
      </c>
      <c r="F8" s="19">
        <f>'Simulasi Prodi'!H7</f>
        <v>0</v>
      </c>
      <c r="G8" s="18">
        <f t="shared" si="0"/>
        <v>0</v>
      </c>
    </row>
    <row r="9" spans="1:7" ht="77.25" thickBot="1" x14ac:dyDescent="0.3">
      <c r="A9" s="20">
        <v>6</v>
      </c>
      <c r="B9" s="16">
        <v>2.2999999999999998</v>
      </c>
      <c r="C9" s="17" t="s">
        <v>56</v>
      </c>
      <c r="D9" s="18"/>
      <c r="E9" s="19">
        <v>1.1000000000000001</v>
      </c>
      <c r="F9" s="19">
        <f>'Simulasi Prodi'!H8</f>
        <v>0</v>
      </c>
      <c r="G9" s="18">
        <f t="shared" si="0"/>
        <v>0</v>
      </c>
    </row>
    <row r="10" spans="1:7" ht="26.25" thickBot="1" x14ac:dyDescent="0.3">
      <c r="A10" s="20">
        <v>7</v>
      </c>
      <c r="B10" s="16">
        <v>2.4</v>
      </c>
      <c r="C10" s="17" t="s">
        <v>57</v>
      </c>
      <c r="D10" s="18"/>
      <c r="E10" s="19">
        <v>1.38</v>
      </c>
      <c r="F10" s="19">
        <f>'Simulasi Prodi'!H9</f>
        <v>0</v>
      </c>
      <c r="G10" s="18">
        <f t="shared" si="0"/>
        <v>0</v>
      </c>
    </row>
    <row r="11" spans="1:7" ht="64.5" thickBot="1" x14ac:dyDescent="0.3">
      <c r="A11" s="20">
        <v>8</v>
      </c>
      <c r="B11" s="16">
        <v>2.5</v>
      </c>
      <c r="C11" s="17" t="s">
        <v>58</v>
      </c>
      <c r="D11" s="18"/>
      <c r="E11" s="19">
        <v>1.38</v>
      </c>
      <c r="F11" s="19">
        <f>'Simulasi Prodi'!H10</f>
        <v>0</v>
      </c>
      <c r="G11" s="18">
        <f t="shared" si="0"/>
        <v>0</v>
      </c>
    </row>
    <row r="12" spans="1:7" ht="51.75" thickBot="1" x14ac:dyDescent="0.3">
      <c r="A12" s="20">
        <v>9</v>
      </c>
      <c r="B12" s="16">
        <v>2.6</v>
      </c>
      <c r="C12" s="22" t="s">
        <v>59</v>
      </c>
      <c r="D12" s="18"/>
      <c r="E12" s="19">
        <v>0.55000000000000004</v>
      </c>
      <c r="F12" s="19">
        <f>'Simulasi Prodi'!H11</f>
        <v>0</v>
      </c>
      <c r="G12" s="18">
        <f t="shared" si="0"/>
        <v>0</v>
      </c>
    </row>
    <row r="13" spans="1:7" ht="26.25" thickBot="1" x14ac:dyDescent="0.3">
      <c r="A13" s="20">
        <v>10</v>
      </c>
      <c r="B13" s="16" t="s">
        <v>60</v>
      </c>
      <c r="C13" s="22" t="s">
        <v>61</v>
      </c>
      <c r="D13" s="18"/>
      <c r="E13" s="19">
        <v>1.88</v>
      </c>
      <c r="F13" s="19" t="e">
        <f>'Simulasi Prodi'!H12</f>
        <v>#DIV/0!</v>
      </c>
      <c r="G13" s="18" t="e">
        <f t="shared" si="0"/>
        <v>#DIV/0!</v>
      </c>
    </row>
    <row r="14" spans="1:7" ht="51.75" thickBot="1" x14ac:dyDescent="0.3">
      <c r="A14" s="20">
        <v>11</v>
      </c>
      <c r="B14" s="16" t="s">
        <v>62</v>
      </c>
      <c r="C14" s="22" t="s">
        <v>63</v>
      </c>
      <c r="D14" s="18"/>
      <c r="E14" s="19">
        <v>0.63</v>
      </c>
      <c r="F14" s="19" t="e">
        <f>'Simulasi Prodi'!H16</f>
        <v>#DIV/0!</v>
      </c>
      <c r="G14" s="18" t="e">
        <f t="shared" si="0"/>
        <v>#DIV/0!</v>
      </c>
    </row>
    <row r="15" spans="1:7" ht="26.25" thickBot="1" x14ac:dyDescent="0.3">
      <c r="A15" s="20">
        <v>12</v>
      </c>
      <c r="B15" s="16" t="s">
        <v>64</v>
      </c>
      <c r="C15" s="22" t="s">
        <v>65</v>
      </c>
      <c r="D15" s="18"/>
      <c r="E15" s="19">
        <v>0.63</v>
      </c>
      <c r="F15" s="19" t="e">
        <f>'Simulasi Prodi'!H20</f>
        <v>#DIV/0!</v>
      </c>
      <c r="G15" s="18" t="e">
        <f t="shared" si="0"/>
        <v>#DIV/0!</v>
      </c>
    </row>
    <row r="16" spans="1:7" ht="26.25" thickBot="1" x14ac:dyDescent="0.3">
      <c r="A16" s="20">
        <v>13</v>
      </c>
      <c r="B16" s="16" t="s">
        <v>66</v>
      </c>
      <c r="C16" s="22" t="s">
        <v>67</v>
      </c>
      <c r="D16" s="18"/>
      <c r="E16" s="19">
        <v>0.63</v>
      </c>
      <c r="F16" s="19" t="str">
        <f>'Simulasi Prodi'!H24</f>
        <v>0</v>
      </c>
      <c r="G16" s="18">
        <f t="shared" si="0"/>
        <v>0</v>
      </c>
    </row>
    <row r="17" spans="1:7" ht="39" thickBot="1" x14ac:dyDescent="0.3">
      <c r="A17" s="20">
        <v>14</v>
      </c>
      <c r="B17" s="16" t="s">
        <v>68</v>
      </c>
      <c r="C17" s="22" t="s">
        <v>69</v>
      </c>
      <c r="D17" s="18"/>
      <c r="E17" s="19">
        <v>1.25</v>
      </c>
      <c r="F17" s="19">
        <f>'Simulasi Prodi'!H31</f>
        <v>0</v>
      </c>
      <c r="G17" s="18">
        <f t="shared" si="0"/>
        <v>0</v>
      </c>
    </row>
    <row r="18" spans="1:7" ht="15.75" thickBot="1" x14ac:dyDescent="0.3">
      <c r="A18" s="20">
        <v>15</v>
      </c>
      <c r="B18" s="16" t="s">
        <v>70</v>
      </c>
      <c r="C18" s="22" t="s">
        <v>71</v>
      </c>
      <c r="D18" s="18"/>
      <c r="E18" s="19">
        <v>0.63</v>
      </c>
      <c r="F18" s="19" t="e">
        <f>'Simulasi Prodi'!H32</f>
        <v>#DIV/0!</v>
      </c>
      <c r="G18" s="18" t="e">
        <f t="shared" si="0"/>
        <v>#DIV/0!</v>
      </c>
    </row>
    <row r="19" spans="1:7" ht="26.25" thickBot="1" x14ac:dyDescent="0.3">
      <c r="A19" s="20">
        <v>16</v>
      </c>
      <c r="B19" s="16" t="s">
        <v>72</v>
      </c>
      <c r="C19" s="22" t="s">
        <v>73</v>
      </c>
      <c r="D19" s="18"/>
      <c r="E19" s="19">
        <v>0.63</v>
      </c>
      <c r="F19" s="19" t="e">
        <f>'Simulasi Prodi'!H37</f>
        <v>#DIV/0!</v>
      </c>
      <c r="G19" s="18" t="e">
        <f t="shared" si="0"/>
        <v>#DIV/0!</v>
      </c>
    </row>
    <row r="20" spans="1:7" ht="64.5" thickBot="1" x14ac:dyDescent="0.3">
      <c r="A20" s="20">
        <v>17</v>
      </c>
      <c r="B20" s="16" t="s">
        <v>74</v>
      </c>
      <c r="C20" s="22" t="s">
        <v>75</v>
      </c>
      <c r="D20" s="18"/>
      <c r="E20" s="19">
        <v>0.63</v>
      </c>
      <c r="F20" s="19" t="str">
        <f>'Simulasi Prodi'!H42</f>
        <v>4</v>
      </c>
      <c r="G20" s="18">
        <f t="shared" si="0"/>
        <v>2.52</v>
      </c>
    </row>
    <row r="21" spans="1:7" ht="64.5" thickBot="1" x14ac:dyDescent="0.3">
      <c r="A21" s="20">
        <v>18</v>
      </c>
      <c r="B21" s="16" t="s">
        <v>76</v>
      </c>
      <c r="C21" s="22" t="s">
        <v>77</v>
      </c>
      <c r="D21" s="18"/>
      <c r="E21" s="19">
        <v>1.25</v>
      </c>
      <c r="F21" s="19" t="str">
        <f>'Simulasi Prodi'!H48</f>
        <v>0</v>
      </c>
      <c r="G21" s="18">
        <f t="shared" si="0"/>
        <v>0</v>
      </c>
    </row>
    <row r="22" spans="1:7" ht="39" thickBot="1" x14ac:dyDescent="0.3">
      <c r="A22" s="20">
        <v>19</v>
      </c>
      <c r="B22" s="16">
        <v>3.3</v>
      </c>
      <c r="C22" s="22" t="s">
        <v>78</v>
      </c>
      <c r="D22" s="18"/>
      <c r="E22" s="19">
        <v>1.25</v>
      </c>
      <c r="F22" s="19">
        <f>'Simulasi Prodi'!H55</f>
        <v>0</v>
      </c>
      <c r="G22" s="18">
        <f t="shared" si="0"/>
        <v>0</v>
      </c>
    </row>
    <row r="23" spans="1:7" ht="26.25" thickBot="1" x14ac:dyDescent="0.3">
      <c r="A23" s="20">
        <v>20</v>
      </c>
      <c r="B23" s="16" t="s">
        <v>79</v>
      </c>
      <c r="C23" s="22" t="s">
        <v>80</v>
      </c>
      <c r="D23" s="18"/>
      <c r="E23" s="19">
        <v>0.63</v>
      </c>
      <c r="F23" s="19">
        <f>'Simulasi Prodi'!H56</f>
        <v>0</v>
      </c>
      <c r="G23" s="18">
        <f t="shared" si="0"/>
        <v>0</v>
      </c>
    </row>
    <row r="24" spans="1:7" ht="51.75" thickBot="1" x14ac:dyDescent="0.3">
      <c r="A24" s="20">
        <v>21</v>
      </c>
      <c r="B24" s="16" t="s">
        <v>81</v>
      </c>
      <c r="C24" s="22" t="s">
        <v>82</v>
      </c>
      <c r="D24" s="18"/>
      <c r="E24" s="19">
        <v>1.25</v>
      </c>
      <c r="F24" s="19" t="str">
        <f>'Simulasi Prodi'!H57</f>
        <v>4</v>
      </c>
      <c r="G24" s="18">
        <f t="shared" si="0"/>
        <v>5</v>
      </c>
    </row>
    <row r="25" spans="1:7" ht="26.25" thickBot="1" x14ac:dyDescent="0.3">
      <c r="A25" s="20">
        <v>22</v>
      </c>
      <c r="B25" s="16" t="s">
        <v>83</v>
      </c>
      <c r="C25" s="22" t="s">
        <v>84</v>
      </c>
      <c r="D25" s="18"/>
      <c r="E25" s="19">
        <v>0.63</v>
      </c>
      <c r="F25" s="19">
        <f>'Simulasi Prodi'!H62</f>
        <v>0</v>
      </c>
      <c r="G25" s="18">
        <f t="shared" si="0"/>
        <v>0</v>
      </c>
    </row>
    <row r="26" spans="1:7" ht="39" thickBot="1" x14ac:dyDescent="0.3">
      <c r="A26" s="20">
        <v>23</v>
      </c>
      <c r="B26" s="16" t="s">
        <v>85</v>
      </c>
      <c r="C26" s="22" t="s">
        <v>86</v>
      </c>
      <c r="D26" s="18"/>
      <c r="E26" s="19">
        <v>1.25</v>
      </c>
      <c r="F26" s="19">
        <f>'Simulasi Prodi'!H68</f>
        <v>0</v>
      </c>
      <c r="G26" s="18">
        <f t="shared" si="0"/>
        <v>0</v>
      </c>
    </row>
    <row r="27" spans="1:7" ht="39" thickBot="1" x14ac:dyDescent="0.3">
      <c r="A27" s="20">
        <v>24</v>
      </c>
      <c r="B27" s="16" t="s">
        <v>87</v>
      </c>
      <c r="C27" s="22" t="s">
        <v>88</v>
      </c>
      <c r="D27" s="18"/>
      <c r="E27" s="19">
        <v>1.25</v>
      </c>
      <c r="F27" s="19">
        <f>'Simulasi Prodi'!H69</f>
        <v>4</v>
      </c>
      <c r="G27" s="18">
        <f t="shared" si="0"/>
        <v>5</v>
      </c>
    </row>
    <row r="28" spans="1:7" ht="26.25" thickBot="1" x14ac:dyDescent="0.3">
      <c r="A28" s="20">
        <v>25</v>
      </c>
      <c r="B28" s="16" t="s">
        <v>89</v>
      </c>
      <c r="C28" s="22" t="s">
        <v>90</v>
      </c>
      <c r="D28" s="18"/>
      <c r="E28" s="19">
        <v>1.25</v>
      </c>
      <c r="F28" s="19">
        <f>'Simulasi Prodi'!H71</f>
        <v>0</v>
      </c>
      <c r="G28" s="18">
        <f t="shared" si="0"/>
        <v>0</v>
      </c>
    </row>
    <row r="29" spans="1:7" ht="39" thickBot="1" x14ac:dyDescent="0.3">
      <c r="A29" s="20">
        <v>26</v>
      </c>
      <c r="B29" s="16" t="s">
        <v>91</v>
      </c>
      <c r="C29" s="16" t="s">
        <v>92</v>
      </c>
      <c r="D29" s="18"/>
      <c r="E29" s="19">
        <v>1.25</v>
      </c>
      <c r="F29" s="19">
        <f>'Simulasi Prodi'!H73</f>
        <v>0</v>
      </c>
      <c r="G29" s="18">
        <f t="shared" si="0"/>
        <v>0</v>
      </c>
    </row>
    <row r="30" spans="1:7" ht="26.25" thickBot="1" x14ac:dyDescent="0.3">
      <c r="A30" s="20">
        <v>27</v>
      </c>
      <c r="B30" s="16">
        <v>3.5</v>
      </c>
      <c r="C30" s="22" t="s">
        <v>93</v>
      </c>
      <c r="D30" s="18"/>
      <c r="E30" s="19">
        <v>0.63</v>
      </c>
      <c r="F30" s="19" t="str">
        <f>'Simulasi Prodi'!H75</f>
        <v>4</v>
      </c>
      <c r="G30" s="18">
        <f t="shared" si="0"/>
        <v>2.52</v>
      </c>
    </row>
    <row r="31" spans="1:7" ht="77.25" thickBot="1" x14ac:dyDescent="0.3">
      <c r="A31" s="20">
        <v>28</v>
      </c>
      <c r="B31" s="16">
        <v>4.0999999999999996</v>
      </c>
      <c r="C31" s="17" t="s">
        <v>94</v>
      </c>
      <c r="D31" s="18"/>
      <c r="E31" s="19">
        <v>0.73</v>
      </c>
      <c r="F31" s="19">
        <f>'Simulasi Prodi'!H80</f>
        <v>0</v>
      </c>
      <c r="G31" s="18">
        <f t="shared" si="0"/>
        <v>0</v>
      </c>
    </row>
    <row r="32" spans="1:7" ht="64.5" thickBot="1" x14ac:dyDescent="0.3">
      <c r="A32" s="20">
        <v>29</v>
      </c>
      <c r="B32" s="16" t="s">
        <v>95</v>
      </c>
      <c r="C32" s="17" t="s">
        <v>96</v>
      </c>
      <c r="D32" s="18"/>
      <c r="E32" s="19">
        <v>0.73</v>
      </c>
      <c r="F32" s="19">
        <f>'Simulasi Prodi'!H81</f>
        <v>0</v>
      </c>
      <c r="G32" s="18">
        <f t="shared" si="0"/>
        <v>0</v>
      </c>
    </row>
    <row r="33" spans="1:7" ht="51.75" thickBot="1" x14ac:dyDescent="0.3">
      <c r="A33" s="20">
        <v>30</v>
      </c>
      <c r="B33" s="16" t="s">
        <v>97</v>
      </c>
      <c r="C33" s="17" t="s">
        <v>98</v>
      </c>
      <c r="D33" s="18"/>
      <c r="E33" s="19">
        <v>1.47</v>
      </c>
      <c r="F33" s="19">
        <f>'Simulasi Prodi'!H82</f>
        <v>0</v>
      </c>
      <c r="G33" s="18">
        <f t="shared" si="0"/>
        <v>0</v>
      </c>
    </row>
    <row r="34" spans="1:7" ht="39" thickBot="1" x14ac:dyDescent="0.3">
      <c r="A34" s="20">
        <v>31</v>
      </c>
      <c r="B34" s="16" t="s">
        <v>99</v>
      </c>
      <c r="C34" s="22" t="s">
        <v>100</v>
      </c>
      <c r="D34" s="18"/>
      <c r="E34" s="19">
        <v>2.2000000000000002</v>
      </c>
      <c r="F34" s="19">
        <f>'Simulasi Prodi'!H83</f>
        <v>0</v>
      </c>
      <c r="G34" s="18">
        <f t="shared" si="0"/>
        <v>0</v>
      </c>
    </row>
    <row r="35" spans="1:7" ht="51.75" thickBot="1" x14ac:dyDescent="0.3">
      <c r="A35" s="20">
        <v>32</v>
      </c>
      <c r="B35" s="16" t="s">
        <v>101</v>
      </c>
      <c r="C35" s="22" t="s">
        <v>102</v>
      </c>
      <c r="D35" s="18"/>
      <c r="E35" s="19">
        <v>0.73</v>
      </c>
      <c r="F35" s="19">
        <f>'Simulasi Prodi'!H87</f>
        <v>1</v>
      </c>
      <c r="G35" s="18">
        <f t="shared" si="0"/>
        <v>0.73</v>
      </c>
    </row>
    <row r="36" spans="1:7" ht="42" thickBot="1" x14ac:dyDescent="0.3">
      <c r="A36" s="20">
        <v>33</v>
      </c>
      <c r="B36" s="16" t="s">
        <v>103</v>
      </c>
      <c r="C36" s="22" t="s">
        <v>104</v>
      </c>
      <c r="D36" s="18"/>
      <c r="E36" s="19">
        <v>1.47</v>
      </c>
      <c r="F36" s="19">
        <f>'Simulasi Prodi'!H90</f>
        <v>0</v>
      </c>
      <c r="G36" s="18">
        <f t="shared" si="0"/>
        <v>0</v>
      </c>
    </row>
    <row r="37" spans="1:7" ht="26.25" thickBot="1" x14ac:dyDescent="0.3">
      <c r="A37" s="20">
        <v>34</v>
      </c>
      <c r="B37" s="16" t="s">
        <v>105</v>
      </c>
      <c r="C37" s="22" t="s">
        <v>106</v>
      </c>
      <c r="D37" s="18"/>
      <c r="E37" s="19">
        <v>1.47</v>
      </c>
      <c r="F37" s="19" t="str">
        <f>'Simulasi Prodi'!H94</f>
        <v>0</v>
      </c>
      <c r="G37" s="18">
        <f t="shared" si="0"/>
        <v>0</v>
      </c>
    </row>
    <row r="38" spans="1:7" ht="26.25" thickBot="1" x14ac:dyDescent="0.3">
      <c r="A38" s="20">
        <v>35</v>
      </c>
      <c r="B38" s="16" t="s">
        <v>107</v>
      </c>
      <c r="C38" s="22" t="s">
        <v>108</v>
      </c>
      <c r="D38" s="18"/>
      <c r="E38" s="19">
        <v>0.73</v>
      </c>
      <c r="F38" s="19" t="str">
        <f>'Simulasi Prodi'!H97</f>
        <v>0</v>
      </c>
      <c r="G38" s="18">
        <f t="shared" si="0"/>
        <v>0</v>
      </c>
    </row>
    <row r="39" spans="1:7" ht="26.25" thickBot="1" x14ac:dyDescent="0.3">
      <c r="A39" s="20">
        <v>36</v>
      </c>
      <c r="B39" s="16" t="s">
        <v>109</v>
      </c>
      <c r="C39" s="22" t="s">
        <v>110</v>
      </c>
      <c r="D39" s="18"/>
      <c r="E39" s="19">
        <v>0.73</v>
      </c>
      <c r="F39" s="19">
        <f>'Simulasi Prodi'!H100</f>
        <v>1</v>
      </c>
      <c r="G39" s="18">
        <f t="shared" si="0"/>
        <v>0.73</v>
      </c>
    </row>
    <row r="40" spans="1:7" ht="39" thickBot="1" x14ac:dyDescent="0.3">
      <c r="A40" s="20">
        <v>37</v>
      </c>
      <c r="B40" s="16" t="s">
        <v>111</v>
      </c>
      <c r="C40" s="22" t="s">
        <v>112</v>
      </c>
      <c r="D40" s="18"/>
      <c r="E40" s="19">
        <v>0.73</v>
      </c>
      <c r="F40" s="19">
        <f>'Simulasi Prodi'!H103</f>
        <v>4</v>
      </c>
      <c r="G40" s="18">
        <f t="shared" si="0"/>
        <v>2.92</v>
      </c>
    </row>
    <row r="41" spans="1:7" ht="26.25" thickBot="1" x14ac:dyDescent="0.3">
      <c r="A41" s="20">
        <v>38</v>
      </c>
      <c r="B41" s="16" t="s">
        <v>111</v>
      </c>
      <c r="C41" s="22" t="s">
        <v>113</v>
      </c>
      <c r="D41" s="18"/>
      <c r="E41" s="19">
        <v>1.47</v>
      </c>
      <c r="F41" s="19">
        <f>'Simulasi Prodi'!H104</f>
        <v>0</v>
      </c>
      <c r="G41" s="18">
        <f t="shared" si="0"/>
        <v>0</v>
      </c>
    </row>
    <row r="42" spans="1:7" ht="42" thickBot="1" x14ac:dyDescent="0.3">
      <c r="A42" s="20">
        <v>39</v>
      </c>
      <c r="B42" s="16" t="s">
        <v>114</v>
      </c>
      <c r="C42" s="22" t="s">
        <v>115</v>
      </c>
      <c r="D42" s="18"/>
      <c r="E42" s="19">
        <v>0.73</v>
      </c>
      <c r="F42" s="19">
        <f>'Simulasi Prodi'!H108</f>
        <v>4</v>
      </c>
      <c r="G42" s="18">
        <f t="shared" si="0"/>
        <v>2.92</v>
      </c>
    </row>
    <row r="43" spans="1:7" ht="39" thickBot="1" x14ac:dyDescent="0.3">
      <c r="A43" s="20">
        <v>40</v>
      </c>
      <c r="B43" s="16" t="s">
        <v>116</v>
      </c>
      <c r="C43" s="22" t="s">
        <v>117</v>
      </c>
      <c r="D43" s="18"/>
      <c r="E43" s="19">
        <v>0.73</v>
      </c>
      <c r="F43" s="19">
        <f>'Simulasi Prodi'!H112</f>
        <v>0</v>
      </c>
      <c r="G43" s="18">
        <f t="shared" si="0"/>
        <v>0</v>
      </c>
    </row>
    <row r="44" spans="1:7" ht="26.25" thickBot="1" x14ac:dyDescent="0.3">
      <c r="A44" s="20">
        <v>41</v>
      </c>
      <c r="B44" s="16" t="s">
        <v>118</v>
      </c>
      <c r="C44" s="22" t="s">
        <v>119</v>
      </c>
      <c r="D44" s="18"/>
      <c r="E44" s="19">
        <v>0.73</v>
      </c>
      <c r="F44" s="19" t="e">
        <f>'Simulasi Prodi'!H113</f>
        <v>#DIV/0!</v>
      </c>
      <c r="G44" s="18" t="e">
        <f t="shared" si="0"/>
        <v>#DIV/0!</v>
      </c>
    </row>
    <row r="45" spans="1:7" ht="64.5" thickBot="1" x14ac:dyDescent="0.3">
      <c r="A45" s="20">
        <v>42</v>
      </c>
      <c r="B45" s="16" t="s">
        <v>120</v>
      </c>
      <c r="C45" s="22" t="s">
        <v>121</v>
      </c>
      <c r="D45" s="18"/>
      <c r="E45" s="19">
        <v>0.73</v>
      </c>
      <c r="F45" s="19" t="str">
        <f>'Simulasi Prodi'!H117</f>
        <v>0</v>
      </c>
      <c r="G45" s="18">
        <f t="shared" si="0"/>
        <v>0</v>
      </c>
    </row>
    <row r="46" spans="1:7" ht="51.75" thickBot="1" x14ac:dyDescent="0.3">
      <c r="A46" s="20">
        <v>43</v>
      </c>
      <c r="B46" s="16" t="s">
        <v>122</v>
      </c>
      <c r="C46" s="22" t="s">
        <v>123</v>
      </c>
      <c r="D46" s="18"/>
      <c r="E46" s="19">
        <v>1.47</v>
      </c>
      <c r="F46" s="19" t="str">
        <f>'Simulasi Prodi'!H119</f>
        <v>0</v>
      </c>
      <c r="G46" s="18">
        <f t="shared" si="0"/>
        <v>0</v>
      </c>
    </row>
    <row r="47" spans="1:7" ht="77.25" thickBot="1" x14ac:dyDescent="0.3">
      <c r="A47" s="20">
        <v>44</v>
      </c>
      <c r="B47" s="16" t="s">
        <v>124</v>
      </c>
      <c r="C47" s="22" t="s">
        <v>125</v>
      </c>
      <c r="D47" s="18"/>
      <c r="E47" s="19">
        <v>1.47</v>
      </c>
      <c r="F47" s="19" t="str">
        <f>'Simulasi Prodi'!H123</f>
        <v>0</v>
      </c>
      <c r="G47" s="18">
        <f t="shared" si="0"/>
        <v>0</v>
      </c>
    </row>
    <row r="48" spans="1:7" ht="51.75" thickBot="1" x14ac:dyDescent="0.3">
      <c r="A48" s="20">
        <v>45</v>
      </c>
      <c r="B48" s="16" t="s">
        <v>126</v>
      </c>
      <c r="C48" s="22" t="s">
        <v>127</v>
      </c>
      <c r="D48" s="18"/>
      <c r="E48" s="19">
        <v>0.73</v>
      </c>
      <c r="F48" s="19">
        <f>'Simulasi Prodi'!H128</f>
        <v>0</v>
      </c>
      <c r="G48" s="18">
        <f t="shared" si="0"/>
        <v>0</v>
      </c>
    </row>
    <row r="49" spans="1:7" ht="26.25" thickBot="1" x14ac:dyDescent="0.3">
      <c r="A49" s="20">
        <v>46</v>
      </c>
      <c r="B49" s="16" t="s">
        <v>128</v>
      </c>
      <c r="C49" s="22" t="s">
        <v>129</v>
      </c>
      <c r="D49" s="18"/>
      <c r="E49" s="19">
        <v>0.73</v>
      </c>
      <c r="F49" s="19">
        <f>'Simulasi Prodi'!H129</f>
        <v>0</v>
      </c>
      <c r="G49" s="18">
        <f t="shared" si="0"/>
        <v>0</v>
      </c>
    </row>
    <row r="50" spans="1:7" ht="15.75" thickBot="1" x14ac:dyDescent="0.3">
      <c r="A50" s="20">
        <v>47</v>
      </c>
      <c r="B50" s="16" t="s">
        <v>130</v>
      </c>
      <c r="C50" s="22" t="s">
        <v>131</v>
      </c>
      <c r="D50" s="18"/>
      <c r="E50" s="19">
        <v>0.73</v>
      </c>
      <c r="F50" s="19" t="str">
        <f>'Simulasi Prodi'!H131</f>
        <v>0</v>
      </c>
      <c r="G50" s="18">
        <f t="shared" si="0"/>
        <v>0</v>
      </c>
    </row>
    <row r="51" spans="1:7" ht="51.75" thickBot="1" x14ac:dyDescent="0.3">
      <c r="A51" s="20">
        <v>48</v>
      </c>
      <c r="B51" s="16" t="s">
        <v>132</v>
      </c>
      <c r="C51" s="22" t="s">
        <v>133</v>
      </c>
      <c r="D51" s="18"/>
      <c r="E51" s="19">
        <v>0.73</v>
      </c>
      <c r="F51" s="19">
        <f>'Simulasi Prodi'!H136</f>
        <v>0</v>
      </c>
      <c r="G51" s="18">
        <f t="shared" si="0"/>
        <v>0</v>
      </c>
    </row>
    <row r="52" spans="1:7" ht="26.25" thickBot="1" x14ac:dyDescent="0.3">
      <c r="A52" s="20">
        <v>49</v>
      </c>
      <c r="B52" s="16" t="s">
        <v>134</v>
      </c>
      <c r="C52" s="22" t="s">
        <v>135</v>
      </c>
      <c r="D52" s="18"/>
      <c r="E52" s="19">
        <v>0.73</v>
      </c>
      <c r="F52" s="19" t="str">
        <f>'Simulasi Prodi'!H137</f>
        <v>0</v>
      </c>
      <c r="G52" s="18">
        <f t="shared" si="0"/>
        <v>0</v>
      </c>
    </row>
    <row r="53" spans="1:7" ht="39" thickBot="1" x14ac:dyDescent="0.3">
      <c r="A53" s="20">
        <v>50</v>
      </c>
      <c r="B53" s="16" t="s">
        <v>136</v>
      </c>
      <c r="C53" s="22" t="s">
        <v>137</v>
      </c>
      <c r="D53" s="18"/>
      <c r="E53" s="19">
        <v>0.73</v>
      </c>
      <c r="F53" s="19">
        <f>'Simulasi Prodi'!H143</f>
        <v>0</v>
      </c>
      <c r="G53" s="18">
        <f t="shared" si="0"/>
        <v>0</v>
      </c>
    </row>
    <row r="54" spans="1:7" ht="26.25" thickBot="1" x14ac:dyDescent="0.3">
      <c r="A54" s="20">
        <v>51</v>
      </c>
      <c r="B54" s="16" t="s">
        <v>138</v>
      </c>
      <c r="C54" s="17" t="s">
        <v>139</v>
      </c>
      <c r="D54" s="18"/>
      <c r="E54" s="19">
        <v>1.1499999999999999</v>
      </c>
      <c r="F54" s="19">
        <f>'Simulasi Prodi'!H144</f>
        <v>0</v>
      </c>
      <c r="G54" s="18">
        <f t="shared" si="0"/>
        <v>0</v>
      </c>
    </row>
    <row r="55" spans="1:7" ht="26.25" thickBot="1" x14ac:dyDescent="0.3">
      <c r="A55" s="20">
        <v>52</v>
      </c>
      <c r="B55" s="16" t="s">
        <v>140</v>
      </c>
      <c r="C55" s="17" t="s">
        <v>141</v>
      </c>
      <c r="D55" s="18"/>
      <c r="E55" s="19">
        <v>0.56999999999999995</v>
      </c>
      <c r="F55" s="19">
        <f>'Simulasi Prodi'!H145</f>
        <v>0</v>
      </c>
      <c r="G55" s="18">
        <f t="shared" si="0"/>
        <v>0</v>
      </c>
    </row>
    <row r="56" spans="1:7" ht="39" thickBot="1" x14ac:dyDescent="0.3">
      <c r="A56" s="20">
        <v>53</v>
      </c>
      <c r="B56" s="16" t="s">
        <v>142</v>
      </c>
      <c r="C56" s="17" t="s">
        <v>143</v>
      </c>
      <c r="D56" s="18"/>
      <c r="E56" s="19">
        <v>0.56999999999999995</v>
      </c>
      <c r="F56" s="19">
        <f>'Simulasi Prodi'!H146</f>
        <v>0</v>
      </c>
      <c r="G56" s="18">
        <f t="shared" si="0"/>
        <v>0</v>
      </c>
    </row>
    <row r="57" spans="1:7" ht="42" thickBot="1" x14ac:dyDescent="0.3">
      <c r="A57" s="20">
        <v>54</v>
      </c>
      <c r="B57" s="16" t="s">
        <v>144</v>
      </c>
      <c r="C57" s="17" t="s">
        <v>145</v>
      </c>
      <c r="D57" s="18"/>
      <c r="E57" s="19">
        <v>1.72</v>
      </c>
      <c r="F57" s="19">
        <f>'Simulasi Prodi'!H147</f>
        <v>0</v>
      </c>
      <c r="G57" s="18">
        <f t="shared" si="0"/>
        <v>0</v>
      </c>
    </row>
    <row r="58" spans="1:7" ht="51.75" thickBot="1" x14ac:dyDescent="0.3">
      <c r="A58" s="20">
        <v>55</v>
      </c>
      <c r="B58" s="16" t="s">
        <v>146</v>
      </c>
      <c r="C58" s="22" t="s">
        <v>147</v>
      </c>
      <c r="D58" s="18"/>
      <c r="E58" s="19">
        <v>0.56999999999999995</v>
      </c>
      <c r="F58" s="19" t="e">
        <f>'Simulasi Prodi'!H151</f>
        <v>#DIV/0!</v>
      </c>
      <c r="G58" s="18" t="e">
        <f t="shared" si="0"/>
        <v>#DIV/0!</v>
      </c>
    </row>
    <row r="59" spans="1:7" ht="54.75" thickBot="1" x14ac:dyDescent="0.3">
      <c r="A59" s="20">
        <v>56</v>
      </c>
      <c r="B59" s="16" t="s">
        <v>148</v>
      </c>
      <c r="C59" s="22" t="s">
        <v>149</v>
      </c>
      <c r="D59" s="18"/>
      <c r="E59" s="19">
        <v>0.56999999999999995</v>
      </c>
      <c r="F59" s="19" t="e">
        <f>'Simulasi Prodi'!H155</f>
        <v>#DIV/0!</v>
      </c>
      <c r="G59" s="18" t="e">
        <f t="shared" si="0"/>
        <v>#DIV/0!</v>
      </c>
    </row>
    <row r="60" spans="1:7" ht="26.25" thickBot="1" x14ac:dyDescent="0.3">
      <c r="A60" s="20">
        <v>57</v>
      </c>
      <c r="B60" s="16" t="s">
        <v>150</v>
      </c>
      <c r="C60" s="17" t="s">
        <v>151</v>
      </c>
      <c r="D60" s="18"/>
      <c r="E60" s="19">
        <v>1.72</v>
      </c>
      <c r="F60" s="19">
        <f>'Simulasi Prodi'!H159</f>
        <v>0</v>
      </c>
      <c r="G60" s="18">
        <f t="shared" si="0"/>
        <v>0</v>
      </c>
    </row>
    <row r="61" spans="1:7" ht="51.75" thickBot="1" x14ac:dyDescent="0.3">
      <c r="A61" s="20">
        <v>58</v>
      </c>
      <c r="B61" s="16" t="s">
        <v>152</v>
      </c>
      <c r="C61" s="17" t="s">
        <v>153</v>
      </c>
      <c r="D61" s="18"/>
      <c r="E61" s="19">
        <v>0.56999999999999995</v>
      </c>
      <c r="F61" s="19">
        <f>'Simulasi Prodi'!H160</f>
        <v>0</v>
      </c>
      <c r="G61" s="18">
        <f t="shared" si="0"/>
        <v>0</v>
      </c>
    </row>
    <row r="62" spans="1:7" ht="54.75" thickBot="1" x14ac:dyDescent="0.3">
      <c r="A62" s="20">
        <v>59</v>
      </c>
      <c r="B62" s="16" t="s">
        <v>154</v>
      </c>
      <c r="C62" s="17" t="s">
        <v>155</v>
      </c>
      <c r="D62" s="18"/>
      <c r="E62" s="19">
        <v>1.72</v>
      </c>
      <c r="F62" s="19">
        <f>'Simulasi Prodi'!H165</f>
        <v>0</v>
      </c>
      <c r="G62" s="18">
        <f t="shared" si="0"/>
        <v>0</v>
      </c>
    </row>
    <row r="63" spans="1:7" ht="15.75" thickBot="1" x14ac:dyDescent="0.3">
      <c r="A63" s="20">
        <v>60</v>
      </c>
      <c r="B63" s="16" t="s">
        <v>156</v>
      </c>
      <c r="C63" s="17" t="s">
        <v>157</v>
      </c>
      <c r="D63" s="18"/>
      <c r="E63" s="19">
        <v>0.56999999999999995</v>
      </c>
      <c r="F63" s="19">
        <f>'Simulasi Prodi'!H169</f>
        <v>0</v>
      </c>
      <c r="G63" s="18">
        <f t="shared" si="0"/>
        <v>0</v>
      </c>
    </row>
    <row r="64" spans="1:7" ht="39" thickBot="1" x14ac:dyDescent="0.3">
      <c r="A64" s="20">
        <v>61</v>
      </c>
      <c r="B64" s="16" t="s">
        <v>158</v>
      </c>
      <c r="C64" s="22" t="s">
        <v>159</v>
      </c>
      <c r="D64" s="18"/>
      <c r="E64" s="19">
        <v>0.56999999999999995</v>
      </c>
      <c r="F64" s="19">
        <f>'Simulasi Prodi'!H171</f>
        <v>0</v>
      </c>
      <c r="G64" s="18">
        <f t="shared" si="0"/>
        <v>0</v>
      </c>
    </row>
    <row r="65" spans="1:7" ht="39" thickBot="1" x14ac:dyDescent="0.3">
      <c r="A65" s="20">
        <v>62</v>
      </c>
      <c r="B65" s="16" t="s">
        <v>160</v>
      </c>
      <c r="C65" s="22" t="s">
        <v>161</v>
      </c>
      <c r="D65" s="18"/>
      <c r="E65" s="19">
        <v>0.56999999999999995</v>
      </c>
      <c r="F65" s="19">
        <f>'Simulasi Prodi'!H172</f>
        <v>0</v>
      </c>
      <c r="G65" s="18">
        <f t="shared" si="0"/>
        <v>0</v>
      </c>
    </row>
    <row r="66" spans="1:7" ht="39" thickBot="1" x14ac:dyDescent="0.3">
      <c r="A66" s="20">
        <v>63</v>
      </c>
      <c r="B66" s="16" t="s">
        <v>162</v>
      </c>
      <c r="C66" s="22" t="s">
        <v>163</v>
      </c>
      <c r="D66" s="18"/>
      <c r="E66" s="19">
        <v>0.56999999999999995</v>
      </c>
      <c r="F66" s="19">
        <f>'Simulasi Prodi'!H173</f>
        <v>3</v>
      </c>
      <c r="G66" s="18">
        <f t="shared" si="0"/>
        <v>1.71</v>
      </c>
    </row>
    <row r="67" spans="1:7" ht="39" thickBot="1" x14ac:dyDescent="0.3">
      <c r="A67" s="20">
        <v>64</v>
      </c>
      <c r="B67" s="16" t="s">
        <v>164</v>
      </c>
      <c r="C67" s="22" t="s">
        <v>165</v>
      </c>
      <c r="D67" s="18"/>
      <c r="E67" s="19">
        <v>0.56999999999999995</v>
      </c>
      <c r="F67" s="19">
        <f>'Simulasi Prodi'!H175</f>
        <v>0</v>
      </c>
      <c r="G67" s="18">
        <f t="shared" si="0"/>
        <v>0</v>
      </c>
    </row>
    <row r="68" spans="1:7" ht="51.75" thickBot="1" x14ac:dyDescent="0.3">
      <c r="A68" s="20">
        <v>65</v>
      </c>
      <c r="B68" s="16" t="s">
        <v>166</v>
      </c>
      <c r="C68" s="22" t="s">
        <v>167</v>
      </c>
      <c r="D68" s="18"/>
      <c r="E68" s="19">
        <v>0.56999999999999995</v>
      </c>
      <c r="F68" s="19">
        <f>'Simulasi Prodi'!H177</f>
        <v>0</v>
      </c>
      <c r="G68" s="18">
        <f t="shared" si="0"/>
        <v>0</v>
      </c>
    </row>
    <row r="69" spans="1:7" ht="15.75" thickBot="1" x14ac:dyDescent="0.3">
      <c r="A69" s="20">
        <v>66</v>
      </c>
      <c r="B69" s="16" t="s">
        <v>168</v>
      </c>
      <c r="C69" s="22" t="s">
        <v>169</v>
      </c>
      <c r="D69" s="18"/>
      <c r="E69" s="19">
        <v>0.56999999999999995</v>
      </c>
      <c r="F69" s="19">
        <f>'Simulasi Prodi'!H178</f>
        <v>0</v>
      </c>
      <c r="G69" s="18">
        <f t="shared" ref="G69:G106" si="1">E69*F69</f>
        <v>0</v>
      </c>
    </row>
    <row r="70" spans="1:7" ht="15.75" thickBot="1" x14ac:dyDescent="0.3">
      <c r="A70" s="20">
        <v>67</v>
      </c>
      <c r="B70" s="16" t="s">
        <v>170</v>
      </c>
      <c r="C70" s="17" t="s">
        <v>171</v>
      </c>
      <c r="D70" s="18"/>
      <c r="E70" s="19">
        <v>0.56999999999999995</v>
      </c>
      <c r="F70" s="19">
        <f>'Simulasi Prodi'!H179</f>
        <v>0</v>
      </c>
      <c r="G70" s="18">
        <f t="shared" si="1"/>
        <v>0</v>
      </c>
    </row>
    <row r="71" spans="1:7" ht="26.25" thickBot="1" x14ac:dyDescent="0.3">
      <c r="A71" s="20">
        <v>68</v>
      </c>
      <c r="B71" s="16" t="s">
        <v>172</v>
      </c>
      <c r="C71" s="22" t="s">
        <v>173</v>
      </c>
      <c r="D71" s="18"/>
      <c r="E71" s="19">
        <v>0.56999999999999995</v>
      </c>
      <c r="F71" s="19">
        <f>'Simulasi Prodi'!H180</f>
        <v>0</v>
      </c>
      <c r="G71" s="18">
        <f t="shared" si="1"/>
        <v>0</v>
      </c>
    </row>
    <row r="72" spans="1:7" ht="26.25" thickBot="1" x14ac:dyDescent="0.3">
      <c r="A72" s="20">
        <v>69</v>
      </c>
      <c r="B72" s="16" t="s">
        <v>174</v>
      </c>
      <c r="C72" s="22" t="s">
        <v>175</v>
      </c>
      <c r="D72" s="18"/>
      <c r="E72" s="19">
        <v>0.56999999999999995</v>
      </c>
      <c r="F72" s="19">
        <f>'Simulasi Prodi'!H181</f>
        <v>4</v>
      </c>
      <c r="G72" s="18">
        <f t="shared" si="1"/>
        <v>2.2799999999999998</v>
      </c>
    </row>
    <row r="73" spans="1:7" ht="39" thickBot="1" x14ac:dyDescent="0.3">
      <c r="A73" s="20">
        <v>70</v>
      </c>
      <c r="B73" s="16" t="s">
        <v>176</v>
      </c>
      <c r="C73" s="22" t="s">
        <v>177</v>
      </c>
      <c r="D73" s="18"/>
      <c r="E73" s="19">
        <v>0.56999999999999995</v>
      </c>
      <c r="F73" s="19">
        <f>'Simulasi Prodi'!H183</f>
        <v>0</v>
      </c>
      <c r="G73" s="18">
        <f t="shared" si="1"/>
        <v>0</v>
      </c>
    </row>
    <row r="74" spans="1:7" ht="26.25" thickBot="1" x14ac:dyDescent="0.3">
      <c r="A74" s="20">
        <v>71</v>
      </c>
      <c r="B74" s="16" t="s">
        <v>178</v>
      </c>
      <c r="C74" s="22" t="s">
        <v>179</v>
      </c>
      <c r="D74" s="18"/>
      <c r="E74" s="19">
        <v>0.56999999999999995</v>
      </c>
      <c r="F74" s="19" t="e">
        <f>'Simulasi Prodi'!H185</f>
        <v>#DIV/0!</v>
      </c>
      <c r="G74" s="18" t="e">
        <f t="shared" si="1"/>
        <v>#DIV/0!</v>
      </c>
    </row>
    <row r="75" spans="1:7" ht="39" thickBot="1" x14ac:dyDescent="0.3">
      <c r="A75" s="20">
        <v>72</v>
      </c>
      <c r="B75" s="16">
        <v>5.6</v>
      </c>
      <c r="C75" s="17" t="s">
        <v>180</v>
      </c>
      <c r="D75" s="18"/>
      <c r="E75" s="19">
        <v>0.56999999999999995</v>
      </c>
      <c r="F75" s="19">
        <f>'Simulasi Prodi'!H189</f>
        <v>0</v>
      </c>
      <c r="G75" s="18">
        <f t="shared" si="1"/>
        <v>0</v>
      </c>
    </row>
    <row r="76" spans="1:7" ht="51.75" thickBot="1" x14ac:dyDescent="0.3">
      <c r="A76" s="20">
        <v>73</v>
      </c>
      <c r="B76" s="16" t="s">
        <v>181</v>
      </c>
      <c r="C76" s="22" t="s">
        <v>182</v>
      </c>
      <c r="D76" s="18"/>
      <c r="E76" s="19">
        <v>0.56999999999999995</v>
      </c>
      <c r="F76" s="19">
        <f>'Simulasi Prodi'!H190</f>
        <v>0</v>
      </c>
      <c r="G76" s="18">
        <f t="shared" si="1"/>
        <v>0</v>
      </c>
    </row>
    <row r="77" spans="1:7" ht="51.75" thickBot="1" x14ac:dyDescent="0.3">
      <c r="A77" s="20">
        <v>74</v>
      </c>
      <c r="B77" s="16" t="s">
        <v>183</v>
      </c>
      <c r="C77" s="22" t="s">
        <v>184</v>
      </c>
      <c r="D77" s="18"/>
      <c r="E77" s="19">
        <v>1.1499999999999999</v>
      </c>
      <c r="F77" s="19">
        <f>'Simulasi Prodi'!H191</f>
        <v>0</v>
      </c>
      <c r="G77" s="18">
        <f t="shared" si="1"/>
        <v>0</v>
      </c>
    </row>
    <row r="78" spans="1:7" ht="64.5" thickBot="1" x14ac:dyDescent="0.3">
      <c r="A78" s="20">
        <v>75</v>
      </c>
      <c r="B78" s="16" t="s">
        <v>185</v>
      </c>
      <c r="C78" s="22" t="s">
        <v>186</v>
      </c>
      <c r="D78" s="18"/>
      <c r="E78" s="19">
        <v>0.56999999999999995</v>
      </c>
      <c r="F78" s="19">
        <f>'Simulasi Prodi'!H192</f>
        <v>0</v>
      </c>
      <c r="G78" s="18">
        <f t="shared" si="1"/>
        <v>0</v>
      </c>
    </row>
    <row r="79" spans="1:7" ht="26.25" thickBot="1" x14ac:dyDescent="0.3">
      <c r="A79" s="20">
        <v>76</v>
      </c>
      <c r="B79" s="16" t="s">
        <v>187</v>
      </c>
      <c r="C79" s="22" t="s">
        <v>188</v>
      </c>
      <c r="D79" s="18"/>
      <c r="E79" s="19">
        <v>0.56999999999999995</v>
      </c>
      <c r="F79" s="19">
        <f>'Simulasi Prodi'!H193</f>
        <v>0</v>
      </c>
      <c r="G79" s="18">
        <f t="shared" si="1"/>
        <v>0</v>
      </c>
    </row>
    <row r="80" spans="1:7" ht="26.25" thickBot="1" x14ac:dyDescent="0.3">
      <c r="A80" s="20">
        <v>77</v>
      </c>
      <c r="B80" s="16">
        <v>5.8</v>
      </c>
      <c r="C80" s="22" t="s">
        <v>189</v>
      </c>
      <c r="D80" s="18"/>
      <c r="E80" s="19">
        <v>0.56999999999999995</v>
      </c>
      <c r="F80" s="19">
        <f>'Simulasi Prodi'!H194</f>
        <v>0</v>
      </c>
      <c r="G80" s="18">
        <f t="shared" si="1"/>
        <v>0</v>
      </c>
    </row>
    <row r="81" spans="1:7" ht="64.5" thickBot="1" x14ac:dyDescent="0.3">
      <c r="A81" s="20">
        <v>78</v>
      </c>
      <c r="B81" s="16">
        <v>5.9</v>
      </c>
      <c r="C81" s="22" t="s">
        <v>190</v>
      </c>
      <c r="D81" s="18"/>
      <c r="E81" s="19">
        <v>1.1499999999999999</v>
      </c>
      <c r="F81" s="19">
        <f>'Simulasi Prodi'!H195</f>
        <v>0</v>
      </c>
      <c r="G81" s="18">
        <f t="shared" si="1"/>
        <v>0</v>
      </c>
    </row>
    <row r="82" spans="1:7" ht="64.5" thickBot="1" x14ac:dyDescent="0.3">
      <c r="A82" s="20">
        <v>79</v>
      </c>
      <c r="B82" s="16">
        <v>6.1</v>
      </c>
      <c r="C82" s="21" t="s">
        <v>191</v>
      </c>
      <c r="D82" s="18"/>
      <c r="E82" s="19">
        <v>0.71</v>
      </c>
      <c r="F82" s="19">
        <f>'Simulasi Prodi'!H196</f>
        <v>0</v>
      </c>
      <c r="G82" s="18">
        <f t="shared" si="1"/>
        <v>0</v>
      </c>
    </row>
    <row r="83" spans="1:7" ht="42" thickBot="1" x14ac:dyDescent="0.3">
      <c r="A83" s="20">
        <v>80</v>
      </c>
      <c r="B83" s="16" t="s">
        <v>192</v>
      </c>
      <c r="C83" s="22" t="s">
        <v>193</v>
      </c>
      <c r="D83" s="18"/>
      <c r="E83" s="19">
        <v>0.71</v>
      </c>
      <c r="F83" s="19">
        <f>'Simulasi Prodi'!H197</f>
        <v>4</v>
      </c>
      <c r="G83" s="18">
        <f t="shared" si="1"/>
        <v>2.84</v>
      </c>
    </row>
    <row r="84" spans="1:7" ht="26.25" thickBot="1" x14ac:dyDescent="0.3">
      <c r="A84" s="20">
        <v>81</v>
      </c>
      <c r="B84" s="16" t="s">
        <v>194</v>
      </c>
      <c r="C84" s="22" t="s">
        <v>195</v>
      </c>
      <c r="D84" s="18"/>
      <c r="E84" s="19">
        <v>2.14</v>
      </c>
      <c r="F84" s="19">
        <f>'Simulasi Prodi'!H201</f>
        <v>4</v>
      </c>
      <c r="G84" s="18">
        <f t="shared" si="1"/>
        <v>8.56</v>
      </c>
    </row>
    <row r="85" spans="1:7" ht="26.25" thickBot="1" x14ac:dyDescent="0.3">
      <c r="A85" s="20">
        <v>82</v>
      </c>
      <c r="B85" s="16" t="s">
        <v>196</v>
      </c>
      <c r="C85" s="22" t="s">
        <v>197</v>
      </c>
      <c r="D85" s="18"/>
      <c r="E85" s="19">
        <v>1.43</v>
      </c>
      <c r="F85" s="19">
        <f>'Simulasi Prodi'!H212</f>
        <v>4</v>
      </c>
      <c r="G85" s="18">
        <f t="shared" si="1"/>
        <v>5.72</v>
      </c>
    </row>
    <row r="86" spans="1:7" ht="39" thickBot="1" x14ac:dyDescent="0.3">
      <c r="A86" s="20">
        <v>83</v>
      </c>
      <c r="B86" s="16" t="s">
        <v>198</v>
      </c>
      <c r="C86" s="22" t="s">
        <v>199</v>
      </c>
      <c r="D86" s="18"/>
      <c r="E86" s="19">
        <v>1.43</v>
      </c>
      <c r="F86" s="19">
        <f>'Simulasi Prodi'!H215</f>
        <v>0</v>
      </c>
      <c r="G86" s="18">
        <f t="shared" si="1"/>
        <v>0</v>
      </c>
    </row>
    <row r="87" spans="1:7" ht="26.25" thickBot="1" x14ac:dyDescent="0.3">
      <c r="A87" s="20">
        <v>84</v>
      </c>
      <c r="B87" s="16" t="s">
        <v>200</v>
      </c>
      <c r="C87" s="17" t="s">
        <v>201</v>
      </c>
      <c r="D87" s="18"/>
      <c r="E87" s="19">
        <v>0.71</v>
      </c>
      <c r="F87" s="19" t="e">
        <f>'Simulasi Prodi'!H218</f>
        <v>#DIV/0!</v>
      </c>
      <c r="G87" s="18" t="e">
        <f t="shared" si="1"/>
        <v>#DIV/0!</v>
      </c>
    </row>
    <row r="88" spans="1:7" ht="90" thickBot="1" x14ac:dyDescent="0.3">
      <c r="A88" s="20">
        <v>85</v>
      </c>
      <c r="B88" s="16" t="s">
        <v>202</v>
      </c>
      <c r="C88" s="22" t="s">
        <v>203</v>
      </c>
      <c r="D88" s="18"/>
      <c r="E88" s="19">
        <v>2.14</v>
      </c>
      <c r="F88" s="19">
        <f>'Simulasi Prodi'!H226</f>
        <v>0</v>
      </c>
      <c r="G88" s="18">
        <f t="shared" si="1"/>
        <v>0</v>
      </c>
    </row>
    <row r="89" spans="1:7" ht="51.75" thickBot="1" x14ac:dyDescent="0.3">
      <c r="A89" s="20">
        <v>86</v>
      </c>
      <c r="B89" s="16" t="s">
        <v>204</v>
      </c>
      <c r="C89" s="22" t="s">
        <v>205</v>
      </c>
      <c r="D89" s="18"/>
      <c r="E89" s="19">
        <v>0.71</v>
      </c>
      <c r="F89" s="19">
        <f>'Simulasi Prodi'!H227</f>
        <v>0</v>
      </c>
      <c r="G89" s="18">
        <f t="shared" si="1"/>
        <v>0</v>
      </c>
    </row>
    <row r="90" spans="1:7" ht="39" thickBot="1" x14ac:dyDescent="0.3">
      <c r="A90" s="20">
        <v>87</v>
      </c>
      <c r="B90" s="16" t="s">
        <v>206</v>
      </c>
      <c r="C90" s="22" t="s">
        <v>207</v>
      </c>
      <c r="D90" s="18"/>
      <c r="E90" s="19">
        <v>0.71</v>
      </c>
      <c r="F90" s="19">
        <f>'Simulasi Prodi'!H228</f>
        <v>4</v>
      </c>
      <c r="G90" s="18">
        <f t="shared" si="1"/>
        <v>2.84</v>
      </c>
    </row>
    <row r="91" spans="1:7" ht="26.25" thickBot="1" x14ac:dyDescent="0.3">
      <c r="A91" s="20">
        <v>88</v>
      </c>
      <c r="B91" s="16" t="s">
        <v>208</v>
      </c>
      <c r="C91" s="22" t="s">
        <v>209</v>
      </c>
      <c r="D91" s="18"/>
      <c r="E91" s="19">
        <v>1.43</v>
      </c>
      <c r="F91" s="19">
        <f>'Simulasi Prodi'!H231</f>
        <v>0</v>
      </c>
      <c r="G91" s="18">
        <f t="shared" si="1"/>
        <v>0</v>
      </c>
    </row>
    <row r="92" spans="1:7" ht="26.25" thickBot="1" x14ac:dyDescent="0.3">
      <c r="A92" s="20">
        <v>89</v>
      </c>
      <c r="B92" s="16" t="s">
        <v>210</v>
      </c>
      <c r="C92" s="22" t="s">
        <v>211</v>
      </c>
      <c r="D92" s="18"/>
      <c r="E92" s="19">
        <v>0.36</v>
      </c>
      <c r="F92" s="19">
        <f>'Simulasi Prodi'!H233</f>
        <v>4</v>
      </c>
      <c r="G92" s="18">
        <f t="shared" si="1"/>
        <v>1.44</v>
      </c>
    </row>
    <row r="93" spans="1:7" ht="26.25" thickBot="1" x14ac:dyDescent="0.3">
      <c r="A93" s="20">
        <v>90</v>
      </c>
      <c r="B93" s="16" t="s">
        <v>212</v>
      </c>
      <c r="C93" s="22" t="s">
        <v>213</v>
      </c>
      <c r="D93" s="18"/>
      <c r="E93" s="19">
        <v>0.36</v>
      </c>
      <c r="F93" s="19">
        <f>'Simulasi Prodi'!H235</f>
        <v>4</v>
      </c>
      <c r="G93" s="18">
        <f t="shared" si="1"/>
        <v>1.44</v>
      </c>
    </row>
    <row r="94" spans="1:7" ht="26.25" thickBot="1" x14ac:dyDescent="0.3">
      <c r="A94" s="20">
        <v>91</v>
      </c>
      <c r="B94" s="16" t="s">
        <v>214</v>
      </c>
      <c r="C94" s="22" t="s">
        <v>215</v>
      </c>
      <c r="D94" s="18"/>
      <c r="E94" s="19">
        <v>0.36</v>
      </c>
      <c r="F94" s="19">
        <f>'Simulasi Prodi'!H237</f>
        <v>3</v>
      </c>
      <c r="G94" s="18">
        <f t="shared" si="1"/>
        <v>1.08</v>
      </c>
    </row>
    <row r="95" spans="1:7" ht="26.25" thickBot="1" x14ac:dyDescent="0.3">
      <c r="A95" s="20">
        <v>92</v>
      </c>
      <c r="B95" s="16" t="s">
        <v>216</v>
      </c>
      <c r="C95" s="22" t="s">
        <v>217</v>
      </c>
      <c r="D95" s="18"/>
      <c r="E95" s="19">
        <v>0.36</v>
      </c>
      <c r="F95" s="19">
        <f>'Simulasi Prodi'!H239</f>
        <v>0</v>
      </c>
      <c r="G95" s="18">
        <f t="shared" si="1"/>
        <v>0</v>
      </c>
    </row>
    <row r="96" spans="1:7" ht="26.25" thickBot="1" x14ac:dyDescent="0.3">
      <c r="A96" s="20">
        <v>93</v>
      </c>
      <c r="B96" s="16" t="s">
        <v>218</v>
      </c>
      <c r="C96" s="22" t="s">
        <v>219</v>
      </c>
      <c r="D96" s="18"/>
      <c r="E96" s="19">
        <v>0.36</v>
      </c>
      <c r="F96" s="19">
        <f>'Simulasi Prodi'!H241</f>
        <v>0</v>
      </c>
      <c r="G96" s="18">
        <f t="shared" si="1"/>
        <v>0</v>
      </c>
    </row>
    <row r="97" spans="1:8" ht="90" thickBot="1" x14ac:dyDescent="0.3">
      <c r="A97" s="20">
        <v>94</v>
      </c>
      <c r="B97" s="16" t="s">
        <v>220</v>
      </c>
      <c r="C97" s="21" t="s">
        <v>221</v>
      </c>
      <c r="D97" s="18"/>
      <c r="E97" s="19">
        <v>2.14</v>
      </c>
      <c r="F97" s="19">
        <f>'Simulasi Prodi'!H242</f>
        <v>0</v>
      </c>
      <c r="G97" s="18">
        <f t="shared" si="1"/>
        <v>0</v>
      </c>
    </row>
    <row r="98" spans="1:8" ht="64.5" thickBot="1" x14ac:dyDescent="0.3">
      <c r="A98" s="20">
        <v>95</v>
      </c>
      <c r="B98" s="16" t="s">
        <v>222</v>
      </c>
      <c r="C98" s="17" t="s">
        <v>223</v>
      </c>
      <c r="D98" s="18"/>
      <c r="E98" s="19">
        <v>1.43</v>
      </c>
      <c r="F98" s="19">
        <f>'Simulasi Prodi'!H243</f>
        <v>0</v>
      </c>
      <c r="G98" s="18">
        <f t="shared" si="1"/>
        <v>0</v>
      </c>
    </row>
    <row r="99" spans="1:8" ht="26.25" thickBot="1" x14ac:dyDescent="0.3">
      <c r="A99" s="20">
        <v>96</v>
      </c>
      <c r="B99" s="16" t="s">
        <v>224</v>
      </c>
      <c r="C99" s="22" t="s">
        <v>225</v>
      </c>
      <c r="D99" s="18"/>
      <c r="E99" s="19">
        <v>0.71</v>
      </c>
      <c r="F99" s="19">
        <f>'Simulasi Prodi'!H244</f>
        <v>0</v>
      </c>
      <c r="G99" s="18">
        <f t="shared" si="1"/>
        <v>0</v>
      </c>
    </row>
    <row r="100" spans="1:8" ht="64.5" thickBot="1" x14ac:dyDescent="0.3">
      <c r="A100" s="20">
        <v>97</v>
      </c>
      <c r="B100" s="16" t="s">
        <v>226</v>
      </c>
      <c r="C100" s="22" t="s">
        <v>227</v>
      </c>
      <c r="D100" s="18"/>
      <c r="E100" s="19">
        <v>2.12</v>
      </c>
      <c r="F100" s="19">
        <f>'Simulasi Prodi'!H250</f>
        <v>0</v>
      </c>
      <c r="G100" s="18">
        <f t="shared" si="1"/>
        <v>0</v>
      </c>
    </row>
    <row r="101" spans="1:8" ht="51.75" thickBot="1" x14ac:dyDescent="0.3">
      <c r="A101" s="20">
        <v>98</v>
      </c>
      <c r="B101" s="16" t="s">
        <v>228</v>
      </c>
      <c r="C101" s="22" t="s">
        <v>229</v>
      </c>
      <c r="D101" s="18"/>
      <c r="E101" s="19">
        <v>1.06</v>
      </c>
      <c r="F101" s="19">
        <f>'Simulasi Prodi'!H256</f>
        <v>0</v>
      </c>
      <c r="G101" s="18">
        <f t="shared" si="1"/>
        <v>0</v>
      </c>
    </row>
    <row r="102" spans="1:8" ht="51.75" thickBot="1" x14ac:dyDescent="0.3">
      <c r="A102" s="20">
        <v>99</v>
      </c>
      <c r="B102" s="16" t="s">
        <v>230</v>
      </c>
      <c r="C102" s="22" t="s">
        <v>231</v>
      </c>
      <c r="D102" s="18"/>
      <c r="E102" s="19">
        <v>1.06</v>
      </c>
      <c r="F102" s="19">
        <f>'Simulasi Prodi'!H262</f>
        <v>0</v>
      </c>
      <c r="G102" s="18">
        <f t="shared" si="1"/>
        <v>0</v>
      </c>
    </row>
    <row r="103" spans="1:8" ht="77.25" thickBot="1" x14ac:dyDescent="0.3">
      <c r="A103" s="20">
        <v>100</v>
      </c>
      <c r="B103" s="16" t="s">
        <v>232</v>
      </c>
      <c r="C103" s="22" t="s">
        <v>233</v>
      </c>
      <c r="D103" s="18"/>
      <c r="E103" s="19">
        <v>2.12</v>
      </c>
      <c r="F103" s="19">
        <f>'Simulasi Prodi'!H263</f>
        <v>0</v>
      </c>
      <c r="G103" s="18">
        <f t="shared" si="1"/>
        <v>0</v>
      </c>
    </row>
    <row r="104" spans="1:8" ht="39" thickBot="1" x14ac:dyDescent="0.3">
      <c r="A104" s="20">
        <v>101</v>
      </c>
      <c r="B104" s="16" t="s">
        <v>234</v>
      </c>
      <c r="C104" s="22" t="s">
        <v>235</v>
      </c>
      <c r="D104" s="18"/>
      <c r="E104" s="19">
        <v>1.06</v>
      </c>
      <c r="F104" s="19">
        <f>'Simulasi Prodi'!H269</f>
        <v>0</v>
      </c>
      <c r="G104" s="18">
        <f t="shared" si="1"/>
        <v>0</v>
      </c>
    </row>
    <row r="105" spans="1:8" ht="39" thickBot="1" x14ac:dyDescent="0.3">
      <c r="A105" s="20">
        <v>102</v>
      </c>
      <c r="B105" s="16" t="s">
        <v>236</v>
      </c>
      <c r="C105" s="22" t="s">
        <v>237</v>
      </c>
      <c r="D105" s="18"/>
      <c r="E105" s="19">
        <v>2.12</v>
      </c>
      <c r="F105" s="19">
        <f>'Simulasi Prodi'!H270</f>
        <v>0</v>
      </c>
      <c r="G105" s="18">
        <f t="shared" si="1"/>
        <v>0</v>
      </c>
    </row>
    <row r="106" spans="1:8" ht="39" thickBot="1" x14ac:dyDescent="0.3">
      <c r="A106" s="20">
        <v>103</v>
      </c>
      <c r="B106" s="16" t="s">
        <v>238</v>
      </c>
      <c r="C106" s="22" t="s">
        <v>239</v>
      </c>
      <c r="D106" s="18"/>
      <c r="E106" s="19">
        <v>1.06</v>
      </c>
      <c r="F106" s="19">
        <f>'Simulasi Prodi'!H271</f>
        <v>0</v>
      </c>
      <c r="G106" s="18">
        <f t="shared" si="1"/>
        <v>0</v>
      </c>
    </row>
    <row r="107" spans="1:8" ht="15.75" thickBot="1" x14ac:dyDescent="0.3">
      <c r="A107" s="23"/>
      <c r="B107" s="24"/>
      <c r="C107" s="24"/>
      <c r="D107" s="18"/>
      <c r="E107" s="19">
        <f>SUM(E4:E106)</f>
        <v>99.299999999999926</v>
      </c>
      <c r="F107" s="19"/>
      <c r="G107" s="19" t="e">
        <f>SUM(G4:G106)</f>
        <v>#DIV/0!</v>
      </c>
      <c r="H107" s="19"/>
    </row>
    <row r="108" spans="1:8" x14ac:dyDescent="0.25">
      <c r="A108" s="2" t="s">
        <v>240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M271"/>
  <sheetViews>
    <sheetView workbookViewId="0">
      <selection activeCell="A3" sqref="A3:A4"/>
    </sheetView>
  </sheetViews>
  <sheetFormatPr defaultRowHeight="15" x14ac:dyDescent="0.25"/>
  <cols>
    <col min="1" max="1" width="51.42578125" customWidth="1"/>
    <col min="7" max="7" width="14.42578125" customWidth="1"/>
    <col min="8" max="8" width="17.7109375" style="42" customWidth="1"/>
  </cols>
  <sheetData>
    <row r="1" spans="1:13" ht="26.25" x14ac:dyDescent="0.4">
      <c r="A1" s="261" t="s">
        <v>728</v>
      </c>
      <c r="B1" s="261"/>
      <c r="C1" s="261"/>
      <c r="D1" s="261"/>
      <c r="E1" s="261"/>
      <c r="F1" s="261"/>
      <c r="G1" s="261"/>
      <c r="H1" s="261"/>
    </row>
    <row r="2" spans="1:13" ht="34.5" customHeight="1" x14ac:dyDescent="0.25">
      <c r="A2" s="51" t="s">
        <v>327</v>
      </c>
      <c r="B2" s="241" t="s">
        <v>318</v>
      </c>
      <c r="C2" s="241"/>
      <c r="D2" s="241"/>
      <c r="E2" s="241"/>
      <c r="F2" s="241"/>
      <c r="G2" s="241"/>
      <c r="H2" s="51" t="s">
        <v>319</v>
      </c>
      <c r="J2" s="241" t="s">
        <v>389</v>
      </c>
      <c r="K2" s="241"/>
      <c r="L2" s="241"/>
      <c r="M2" s="241"/>
    </row>
    <row r="3" spans="1:13" ht="40.5" customHeight="1" x14ac:dyDescent="0.25">
      <c r="A3" s="211" t="s">
        <v>315</v>
      </c>
      <c r="B3" s="235" t="s">
        <v>316</v>
      </c>
      <c r="C3" s="236"/>
      <c r="D3" s="236"/>
      <c r="E3" s="236"/>
      <c r="F3" s="236"/>
      <c r="G3" s="236"/>
      <c r="H3" s="49"/>
      <c r="J3" s="53"/>
      <c r="K3" s="43" t="s">
        <v>390</v>
      </c>
      <c r="L3" s="251" t="s">
        <v>391</v>
      </c>
      <c r="M3" s="251"/>
    </row>
    <row r="4" spans="1:13" ht="33.75" customHeight="1" x14ac:dyDescent="0.25">
      <c r="A4" s="211"/>
      <c r="B4" s="235" t="s">
        <v>317</v>
      </c>
      <c r="C4" s="236"/>
      <c r="D4" s="236"/>
      <c r="E4" s="236"/>
      <c r="F4" s="236"/>
      <c r="G4" s="236"/>
      <c r="H4" s="49"/>
      <c r="J4" s="54"/>
      <c r="K4" s="43" t="s">
        <v>390</v>
      </c>
      <c r="L4" s="251" t="s">
        <v>707</v>
      </c>
      <c r="M4" s="251"/>
    </row>
    <row r="5" spans="1:13" ht="42" customHeight="1" x14ac:dyDescent="0.25">
      <c r="A5" s="55" t="s">
        <v>320</v>
      </c>
      <c r="B5" s="235" t="s">
        <v>321</v>
      </c>
      <c r="C5" s="236"/>
      <c r="D5" s="236"/>
      <c r="E5" s="236"/>
      <c r="F5" s="236"/>
      <c r="G5" s="236"/>
      <c r="H5" s="49"/>
      <c r="J5" s="44"/>
      <c r="K5" s="43" t="s">
        <v>390</v>
      </c>
      <c r="L5" s="252" t="s">
        <v>392</v>
      </c>
      <c r="M5" s="253"/>
    </row>
    <row r="6" spans="1:13" ht="44.25" customHeight="1" x14ac:dyDescent="0.25">
      <c r="A6" s="55" t="s">
        <v>322</v>
      </c>
      <c r="B6" s="235" t="s">
        <v>323</v>
      </c>
      <c r="C6" s="236"/>
      <c r="D6" s="236"/>
      <c r="E6" s="236"/>
      <c r="F6" s="236"/>
      <c r="G6" s="236"/>
      <c r="H6" s="49"/>
    </row>
    <row r="7" spans="1:13" ht="39.75" customHeight="1" x14ac:dyDescent="0.25">
      <c r="A7" s="45" t="s">
        <v>324</v>
      </c>
      <c r="B7" s="235" t="s">
        <v>325</v>
      </c>
      <c r="C7" s="236"/>
      <c r="D7" s="236"/>
      <c r="E7" s="236"/>
      <c r="F7" s="236"/>
      <c r="G7" s="236"/>
      <c r="H7" s="49"/>
    </row>
    <row r="8" spans="1:13" ht="31.5" customHeight="1" x14ac:dyDescent="0.25">
      <c r="A8" s="46" t="s">
        <v>326</v>
      </c>
      <c r="B8" s="235" t="s">
        <v>326</v>
      </c>
      <c r="C8" s="236"/>
      <c r="D8" s="236"/>
      <c r="E8" s="236"/>
      <c r="F8" s="236"/>
      <c r="G8" s="236"/>
      <c r="H8" s="49"/>
    </row>
    <row r="9" spans="1:13" ht="21" customHeight="1" x14ac:dyDescent="0.25">
      <c r="A9" s="46" t="s">
        <v>328</v>
      </c>
      <c r="B9" s="237" t="s">
        <v>329</v>
      </c>
      <c r="C9" s="238"/>
      <c r="D9" s="238"/>
      <c r="E9" s="238"/>
      <c r="F9" s="238"/>
      <c r="G9" s="238"/>
      <c r="H9" s="49"/>
    </row>
    <row r="10" spans="1:13" ht="48" customHeight="1" x14ac:dyDescent="0.25">
      <c r="A10" s="47" t="s">
        <v>330</v>
      </c>
      <c r="B10" s="239" t="s">
        <v>331</v>
      </c>
      <c r="C10" s="240"/>
      <c r="D10" s="240"/>
      <c r="E10" s="240"/>
      <c r="F10" s="240"/>
      <c r="G10" s="240"/>
      <c r="H10" s="50"/>
    </row>
    <row r="11" spans="1:13" ht="32.25" customHeight="1" x14ac:dyDescent="0.25">
      <c r="A11" s="47" t="s">
        <v>332</v>
      </c>
      <c r="B11" s="242" t="s">
        <v>333</v>
      </c>
      <c r="C11" s="243"/>
      <c r="D11" s="243"/>
      <c r="E11" s="243"/>
      <c r="F11" s="243"/>
      <c r="G11" s="243"/>
      <c r="H11" s="49"/>
    </row>
    <row r="12" spans="1:13" ht="38.25" customHeight="1" x14ac:dyDescent="0.25">
      <c r="A12" s="211" t="s">
        <v>334</v>
      </c>
      <c r="B12" s="224" t="s">
        <v>335</v>
      </c>
      <c r="C12" s="244"/>
      <c r="D12" s="244"/>
      <c r="E12" s="244"/>
      <c r="F12" s="206"/>
      <c r="G12" s="206"/>
      <c r="H12" s="48" t="e">
        <f>IF(H13/H14&gt;4,"4",IF(H13/H14&lt;=1,"0",IF(H13/H14&lt;=1.5,"1",IF(H13/H14&lt;=3,"2","3"))))</f>
        <v>#DIV/0!</v>
      </c>
    </row>
    <row r="13" spans="1:13" ht="20.25" customHeight="1" x14ac:dyDescent="0.25">
      <c r="A13" s="211"/>
      <c r="B13" s="212"/>
      <c r="C13" s="213"/>
      <c r="D13" s="295" t="s">
        <v>336</v>
      </c>
      <c r="E13" s="295"/>
      <c r="F13" s="299"/>
      <c r="G13" s="299"/>
      <c r="H13" s="52">
        <v>0</v>
      </c>
    </row>
    <row r="14" spans="1:13" ht="20.25" customHeight="1" x14ac:dyDescent="0.25">
      <c r="A14" s="211"/>
      <c r="B14" s="212"/>
      <c r="C14" s="213"/>
      <c r="D14" s="245" t="s">
        <v>337</v>
      </c>
      <c r="E14" s="297"/>
      <c r="F14" s="300"/>
      <c r="G14" s="301"/>
      <c r="H14" s="52">
        <v>0</v>
      </c>
    </row>
    <row r="15" spans="1:13" ht="20.25" customHeight="1" x14ac:dyDescent="0.25">
      <c r="A15" s="211"/>
      <c r="B15" s="214"/>
      <c r="C15" s="216"/>
      <c r="D15" s="296" t="s">
        <v>729</v>
      </c>
      <c r="E15" s="298"/>
      <c r="F15" s="302"/>
      <c r="G15" s="299"/>
      <c r="H15" s="43" t="e">
        <f>H13/H14</f>
        <v>#DIV/0!</v>
      </c>
    </row>
    <row r="16" spans="1:13" ht="42" customHeight="1" x14ac:dyDescent="0.25">
      <c r="A16" s="211"/>
      <c r="B16" s="224" t="s">
        <v>338</v>
      </c>
      <c r="C16" s="244"/>
      <c r="D16" s="244"/>
      <c r="E16" s="244"/>
      <c r="F16" s="244"/>
      <c r="G16" s="244"/>
      <c r="H16" s="306" t="e">
        <f>IF(H17/H18*100%&gt;90%,"4",IF(H17/H18*100%&lt;=20%,"0",IF(H17/H18*100%&lt;=50%,"1",IF(H17/H18*100%&lt;=80%,"2","3"))))</f>
        <v>#DIV/0!</v>
      </c>
    </row>
    <row r="17" spans="1:8" ht="32.25" customHeight="1" x14ac:dyDescent="0.25">
      <c r="A17" s="211"/>
      <c r="B17" s="212"/>
      <c r="C17" s="213"/>
      <c r="D17" s="245" t="s">
        <v>339</v>
      </c>
      <c r="E17" s="245"/>
      <c r="F17" s="245"/>
      <c r="G17" s="245"/>
      <c r="H17" s="175">
        <v>0</v>
      </c>
    </row>
    <row r="18" spans="1:8" ht="32.25" customHeight="1" x14ac:dyDescent="0.25">
      <c r="A18" s="211"/>
      <c r="B18" s="212"/>
      <c r="C18" s="213"/>
      <c r="D18" s="245" t="s">
        <v>340</v>
      </c>
      <c r="E18" s="245"/>
      <c r="F18" s="245"/>
      <c r="G18" s="245"/>
      <c r="H18" s="175">
        <v>0</v>
      </c>
    </row>
    <row r="19" spans="1:8" ht="32.25" customHeight="1" x14ac:dyDescent="0.25">
      <c r="A19" s="211"/>
      <c r="B19" s="214"/>
      <c r="C19" s="216"/>
      <c r="H19" s="43" t="e">
        <f>H17/H18*100</f>
        <v>#DIV/0!</v>
      </c>
    </row>
    <row r="20" spans="1:8" ht="32.25" customHeight="1" x14ac:dyDescent="0.25">
      <c r="A20" s="211"/>
      <c r="B20" s="224" t="s">
        <v>341</v>
      </c>
      <c r="C20" s="244"/>
      <c r="D20" s="244"/>
      <c r="E20" s="244"/>
      <c r="F20" s="244"/>
      <c r="G20" s="244"/>
      <c r="H20" s="306" t="e">
        <f>IF(H21/H22&lt;0.25,"4",IF(H21/H22&lt;0.5,"3",IF(H21/H22&lt;0.75,"2",IF(H21/H22&gt;=0.75,"1","0"))))</f>
        <v>#DIV/0!</v>
      </c>
    </row>
    <row r="21" spans="1:8" ht="37.5" customHeight="1" x14ac:dyDescent="0.25">
      <c r="A21" s="211"/>
      <c r="B21" s="293"/>
      <c r="C21" s="293"/>
      <c r="D21" s="206" t="s">
        <v>342</v>
      </c>
      <c r="E21" s="206"/>
      <c r="F21" s="206"/>
      <c r="G21" s="206"/>
      <c r="H21" s="175">
        <v>0</v>
      </c>
    </row>
    <row r="22" spans="1:8" ht="37.5" customHeight="1" x14ac:dyDescent="0.25">
      <c r="A22" s="211"/>
      <c r="B22" s="294"/>
      <c r="C22" s="294"/>
      <c r="D22" s="206" t="s">
        <v>343</v>
      </c>
      <c r="E22" s="206"/>
      <c r="F22" s="206"/>
      <c r="G22" s="206"/>
      <c r="H22" s="175">
        <v>0</v>
      </c>
    </row>
    <row r="23" spans="1:8" ht="27" customHeight="1" x14ac:dyDescent="0.25">
      <c r="A23" s="211"/>
      <c r="B23" s="169"/>
      <c r="C23" s="169"/>
      <c r="D23" s="246" t="s">
        <v>729</v>
      </c>
      <c r="E23" s="246"/>
      <c r="F23" s="246"/>
      <c r="G23" s="246"/>
      <c r="H23" s="43" t="e">
        <f>H21/H22</f>
        <v>#DIV/0!</v>
      </c>
    </row>
    <row r="24" spans="1:8" ht="28.5" customHeight="1" x14ac:dyDescent="0.25">
      <c r="A24" s="211"/>
      <c r="B24" s="224" t="s">
        <v>344</v>
      </c>
      <c r="C24" s="244"/>
      <c r="D24" s="244"/>
      <c r="E24" s="244"/>
      <c r="F24" s="206"/>
      <c r="G24" s="206"/>
      <c r="H24" s="43" t="str">
        <f>IF(H30&gt;3,"4",IF(H30&lt;=2.25,"0",IF(H30&lt;=2.5,"1",IF(H30&lt;=2.75,"2","3"))))</f>
        <v>0</v>
      </c>
    </row>
    <row r="25" spans="1:8" ht="28.5" customHeight="1" x14ac:dyDescent="0.25">
      <c r="A25" s="211"/>
      <c r="B25" s="309"/>
      <c r="C25" s="310"/>
      <c r="D25" s="231" t="s">
        <v>393</v>
      </c>
      <c r="E25" s="314"/>
      <c r="F25" s="314"/>
      <c r="G25" s="232"/>
      <c r="H25" s="175">
        <v>0</v>
      </c>
    </row>
    <row r="26" spans="1:8" ht="28.5" customHeight="1" x14ac:dyDescent="0.25">
      <c r="A26" s="211"/>
      <c r="B26" s="309"/>
      <c r="C26" s="310"/>
      <c r="D26" s="231" t="s">
        <v>394</v>
      </c>
      <c r="E26" s="314"/>
      <c r="F26" s="314"/>
      <c r="G26" s="232"/>
      <c r="H26" s="175">
        <v>0</v>
      </c>
    </row>
    <row r="27" spans="1:8" ht="28.5" customHeight="1" x14ac:dyDescent="0.25">
      <c r="A27" s="211"/>
      <c r="B27" s="309"/>
      <c r="C27" s="310"/>
      <c r="D27" s="231" t="s">
        <v>395</v>
      </c>
      <c r="E27" s="314"/>
      <c r="F27" s="314"/>
      <c r="G27" s="232"/>
      <c r="H27" s="175">
        <v>0</v>
      </c>
    </row>
    <row r="28" spans="1:8" ht="28.5" customHeight="1" x14ac:dyDescent="0.25">
      <c r="A28" s="211"/>
      <c r="B28" s="309"/>
      <c r="C28" s="310"/>
      <c r="D28" s="231" t="s">
        <v>397</v>
      </c>
      <c r="E28" s="314"/>
      <c r="F28" s="314"/>
      <c r="G28" s="232"/>
      <c r="H28" s="175">
        <v>0</v>
      </c>
    </row>
    <row r="29" spans="1:8" ht="28.5" customHeight="1" x14ac:dyDescent="0.25">
      <c r="A29" s="211"/>
      <c r="B29" s="309"/>
      <c r="C29" s="310"/>
      <c r="D29" s="231" t="s">
        <v>396</v>
      </c>
      <c r="E29" s="314"/>
      <c r="F29" s="314"/>
      <c r="G29" s="232"/>
      <c r="H29" s="175">
        <v>0</v>
      </c>
    </row>
    <row r="30" spans="1:8" x14ac:dyDescent="0.25">
      <c r="A30" s="211"/>
      <c r="B30" s="311"/>
      <c r="C30" s="312"/>
      <c r="D30" s="303" t="s">
        <v>345</v>
      </c>
      <c r="E30" s="304"/>
      <c r="F30" s="304"/>
      <c r="G30" s="305"/>
      <c r="H30" s="315">
        <f>AVERAGE(H25:H29)</f>
        <v>0</v>
      </c>
    </row>
    <row r="31" spans="1:8" ht="30" customHeight="1" x14ac:dyDescent="0.25">
      <c r="A31" s="55" t="s">
        <v>346</v>
      </c>
      <c r="B31" s="232" t="s">
        <v>347</v>
      </c>
      <c r="C31" s="206"/>
      <c r="D31" s="206"/>
      <c r="E31" s="206"/>
      <c r="F31" s="206"/>
      <c r="G31" s="206"/>
      <c r="H31" s="49">
        <v>0</v>
      </c>
    </row>
    <row r="32" spans="1:8" ht="25.5" customHeight="1" x14ac:dyDescent="0.25">
      <c r="A32" s="320" t="s">
        <v>348</v>
      </c>
      <c r="B32" s="206" t="s">
        <v>349</v>
      </c>
      <c r="C32" s="206"/>
      <c r="D32" s="206"/>
      <c r="E32" s="206"/>
      <c r="F32" s="206"/>
      <c r="G32" s="206"/>
      <c r="H32" s="43" t="e">
        <f>IF(AND(H35="Diploma I",H36&gt;80%),"4",IF(AND(H35="Diploma I",H36&lt;=35%),"0",IF(AND(H35="Diploma I",H36&lt;=50%),"1",IF(AND(H35="Diploma I",H36&lt;=65%),"2",IF(AND(H35="Diploma I",H36&lt;=80%),"3",IF(AND(H35="Diploma II",H36&gt;70%),"4",IF(AND(H35="Diploma II",H36&lt;=25%),"0",IF(AND(H35="Diploma II",H36&lt;=40%),"1",IF(AND(H35="Diploma II",H36&lt;=55%),"2",IF(AND(H35="Diploma II",H36&lt;=70%),"3",IF(AND(H35="Diploma III",H36&gt;60%),"4",IF(AND(H35="Diploma III",H36&lt;=15%),"0",IF(AND(H35="Diploma III",H36&lt;=30%),"1",IF(AND(H35="Diploma III",H36&lt;=45%),"2",IF(AND(H35="Diploma III",H36&lt;=60%),"3",IF(AND(H35="Diploma IV",H36&gt;50%),"4",IF(AND(H35="Diploma IV",H36&lt;=5%),"0",IF(AND(H35="Diploma IV",H36&lt;=20%),"1",IF(AND(H35="Diploma IV",H36&lt;=35%),"2",IF(AND(H35="Diploma IV",H36&lt;=50%),"3",))))))))))))))))))))</f>
        <v>#DIV/0!</v>
      </c>
    </row>
    <row r="33" spans="1:8" x14ac:dyDescent="0.25">
      <c r="A33" s="321"/>
      <c r="B33" s="316"/>
      <c r="C33" s="317"/>
      <c r="D33" s="318" t="s">
        <v>350</v>
      </c>
      <c r="E33" s="318"/>
      <c r="F33" s="318"/>
      <c r="G33" s="318"/>
      <c r="H33" s="175">
        <v>0</v>
      </c>
    </row>
    <row r="34" spans="1:8" x14ac:dyDescent="0.25">
      <c r="A34" s="321"/>
      <c r="B34" s="212"/>
      <c r="C34" s="213"/>
      <c r="D34" s="318" t="s">
        <v>351</v>
      </c>
      <c r="E34" s="318"/>
      <c r="F34" s="318"/>
      <c r="G34" s="318"/>
      <c r="H34" s="175">
        <v>0</v>
      </c>
    </row>
    <row r="35" spans="1:8" x14ac:dyDescent="0.25">
      <c r="A35" s="321"/>
      <c r="B35" s="212"/>
      <c r="C35" s="213"/>
      <c r="D35" s="318" t="s">
        <v>352</v>
      </c>
      <c r="E35" s="318"/>
      <c r="F35" s="318"/>
      <c r="G35" s="318"/>
      <c r="H35" s="175" t="s">
        <v>708</v>
      </c>
    </row>
    <row r="36" spans="1:8" x14ac:dyDescent="0.25">
      <c r="A36" s="321"/>
      <c r="B36" s="214"/>
      <c r="C36" s="216"/>
      <c r="D36" s="246" t="s">
        <v>729</v>
      </c>
      <c r="E36" s="246"/>
      <c r="F36" s="246"/>
      <c r="G36" s="246"/>
      <c r="H36" s="319" t="e">
        <f>(H33/H34)*100%</f>
        <v>#DIV/0!</v>
      </c>
    </row>
    <row r="37" spans="1:8" ht="15.75" x14ac:dyDescent="0.25">
      <c r="A37" s="321"/>
      <c r="B37" s="250" t="s">
        <v>353</v>
      </c>
      <c r="C37" s="250"/>
      <c r="D37" s="250"/>
      <c r="E37" s="250"/>
      <c r="F37" s="250"/>
      <c r="G37" s="250"/>
      <c r="H37" s="43" t="e">
        <f>IF(H41*100%&lt;=6%,"4",IF(H41*100%&lt;=15%,"3",IF(H41*100%&lt;=25%,"2",IF(H41*100%&lt;=35%,"3","4"))))</f>
        <v>#DIV/0!</v>
      </c>
    </row>
    <row r="38" spans="1:8" x14ac:dyDescent="0.25">
      <c r="A38" s="321"/>
      <c r="B38" s="247"/>
      <c r="C38" s="247"/>
      <c r="D38" s="318" t="s">
        <v>354</v>
      </c>
      <c r="E38" s="318"/>
      <c r="F38" s="318"/>
      <c r="G38" s="318"/>
      <c r="H38" s="175">
        <v>0</v>
      </c>
    </row>
    <row r="39" spans="1:8" x14ac:dyDescent="0.25">
      <c r="A39" s="321"/>
      <c r="B39" s="247"/>
      <c r="C39" s="247"/>
      <c r="D39" s="318" t="s">
        <v>355</v>
      </c>
      <c r="E39" s="318"/>
      <c r="F39" s="318"/>
      <c r="G39" s="318"/>
      <c r="H39" s="175">
        <v>0</v>
      </c>
    </row>
    <row r="40" spans="1:8" x14ac:dyDescent="0.25">
      <c r="A40" s="321"/>
      <c r="B40" s="247"/>
      <c r="C40" s="247"/>
      <c r="D40" s="318" t="s">
        <v>356</v>
      </c>
      <c r="E40" s="318"/>
      <c r="F40" s="318"/>
      <c r="G40" s="318"/>
      <c r="H40" s="175">
        <v>0</v>
      </c>
    </row>
    <row r="41" spans="1:8" x14ac:dyDescent="0.25">
      <c r="A41" s="322"/>
      <c r="B41" s="247"/>
      <c r="C41" s="247"/>
      <c r="D41" s="246" t="s">
        <v>729</v>
      </c>
      <c r="E41" s="246"/>
      <c r="F41" s="246"/>
      <c r="G41" s="246"/>
      <c r="H41" s="313" t="e">
        <f>(H38-H39-H40)/H38</f>
        <v>#DIV/0!</v>
      </c>
    </row>
    <row r="42" spans="1:8" ht="45" customHeight="1" x14ac:dyDescent="0.25">
      <c r="A42" s="323" t="s">
        <v>357</v>
      </c>
      <c r="B42" s="224" t="s">
        <v>358</v>
      </c>
      <c r="C42" s="244"/>
      <c r="D42" s="244"/>
      <c r="E42" s="244"/>
      <c r="F42" s="206"/>
      <c r="G42" s="206"/>
      <c r="H42" s="43" t="str">
        <f>IF(COUNTIF(H43:H47,"ADA")=5,"4",IF(AND(COUNTIF(H43:H45,"ADA")=3,COUNTIF(H46:H47,"TIDAK ADA")=2),"3",IF(AND(COUNTIF(H43:H44,"ADA")=2,COUNTIF(H45:H47,"TIDAK ADA")=3),"2",IF(COUNTIF(H43:H47,"ADA")&gt;=1,"1","0"))))</f>
        <v>4</v>
      </c>
    </row>
    <row r="43" spans="1:8" ht="21" customHeight="1" x14ac:dyDescent="0.25">
      <c r="A43" s="324"/>
      <c r="B43" s="293"/>
      <c r="C43" s="293"/>
      <c r="D43" s="236" t="s">
        <v>359</v>
      </c>
      <c r="E43" s="236"/>
      <c r="F43" s="236"/>
      <c r="G43" s="236"/>
      <c r="H43" s="175" t="s">
        <v>364</v>
      </c>
    </row>
    <row r="44" spans="1:8" ht="21" customHeight="1" x14ac:dyDescent="0.25">
      <c r="A44" s="324"/>
      <c r="B44" s="293"/>
      <c r="C44" s="293"/>
      <c r="D44" s="236" t="s">
        <v>360</v>
      </c>
      <c r="E44" s="236"/>
      <c r="F44" s="236"/>
      <c r="G44" s="236"/>
      <c r="H44" s="175" t="s">
        <v>364</v>
      </c>
    </row>
    <row r="45" spans="1:8" ht="21" customHeight="1" x14ac:dyDescent="0.25">
      <c r="A45" s="324"/>
      <c r="B45" s="293"/>
      <c r="C45" s="293"/>
      <c r="D45" s="236" t="s">
        <v>361</v>
      </c>
      <c r="E45" s="236"/>
      <c r="F45" s="236"/>
      <c r="G45" s="236"/>
      <c r="H45" s="175" t="s">
        <v>364</v>
      </c>
    </row>
    <row r="46" spans="1:8" ht="21" customHeight="1" x14ac:dyDescent="0.25">
      <c r="A46" s="324"/>
      <c r="B46" s="293"/>
      <c r="C46" s="293"/>
      <c r="D46" s="236" t="s">
        <v>362</v>
      </c>
      <c r="E46" s="236"/>
      <c r="F46" s="236"/>
      <c r="G46" s="236"/>
      <c r="H46" s="175" t="s">
        <v>364</v>
      </c>
    </row>
    <row r="47" spans="1:8" ht="21" customHeight="1" x14ac:dyDescent="0.25">
      <c r="A47" s="324"/>
      <c r="B47" s="294"/>
      <c r="C47" s="294"/>
      <c r="D47" s="236" t="s">
        <v>363</v>
      </c>
      <c r="E47" s="236"/>
      <c r="F47" s="236"/>
      <c r="G47" s="236"/>
      <c r="H47" s="175" t="s">
        <v>364</v>
      </c>
    </row>
    <row r="48" spans="1:8" ht="45" customHeight="1" x14ac:dyDescent="0.25">
      <c r="A48" s="324"/>
      <c r="B48" s="254" t="s">
        <v>365</v>
      </c>
      <c r="C48" s="255"/>
      <c r="D48" s="255"/>
      <c r="E48" s="255"/>
      <c r="F48" s="236"/>
      <c r="G48" s="236"/>
      <c r="H48" s="43" t="str">
        <f>IF(H54&gt;3.5,"4",IF(H54&lt;=0.5,"0",IF(H54&lt;=1.5,"1",IF(H54&lt;=2.5,"2","3"))))</f>
        <v>0</v>
      </c>
    </row>
    <row r="49" spans="1:8" ht="18.75" customHeight="1" x14ac:dyDescent="0.25">
      <c r="A49" s="324"/>
      <c r="B49" s="212"/>
      <c r="C49" s="213"/>
      <c r="D49" s="236" t="s">
        <v>359</v>
      </c>
      <c r="E49" s="236"/>
      <c r="F49" s="236"/>
      <c r="G49" s="236"/>
      <c r="H49" s="175">
        <v>0</v>
      </c>
    </row>
    <row r="50" spans="1:8" ht="18.75" customHeight="1" x14ac:dyDescent="0.25">
      <c r="A50" s="324"/>
      <c r="B50" s="212"/>
      <c r="C50" s="213"/>
      <c r="D50" s="236" t="s">
        <v>360</v>
      </c>
      <c r="E50" s="236"/>
      <c r="F50" s="236"/>
      <c r="G50" s="236"/>
      <c r="H50" s="175">
        <v>0</v>
      </c>
    </row>
    <row r="51" spans="1:8" ht="18.75" customHeight="1" x14ac:dyDescent="0.25">
      <c r="A51" s="324"/>
      <c r="B51" s="212"/>
      <c r="C51" s="213"/>
      <c r="D51" s="236" t="s">
        <v>361</v>
      </c>
      <c r="E51" s="236"/>
      <c r="F51" s="236"/>
      <c r="G51" s="236"/>
      <c r="H51" s="175">
        <v>0</v>
      </c>
    </row>
    <row r="52" spans="1:8" ht="18.75" customHeight="1" x14ac:dyDescent="0.25">
      <c r="A52" s="324"/>
      <c r="B52" s="212"/>
      <c r="C52" s="213"/>
      <c r="D52" s="236" t="s">
        <v>362</v>
      </c>
      <c r="E52" s="236"/>
      <c r="F52" s="236"/>
      <c r="G52" s="236"/>
      <c r="H52" s="175">
        <v>0</v>
      </c>
    </row>
    <row r="53" spans="1:8" ht="18.75" customHeight="1" x14ac:dyDescent="0.25">
      <c r="A53" s="324"/>
      <c r="B53" s="212"/>
      <c r="C53" s="213"/>
      <c r="D53" s="236" t="s">
        <v>363</v>
      </c>
      <c r="E53" s="236"/>
      <c r="F53" s="236"/>
      <c r="G53" s="236"/>
      <c r="H53" s="175">
        <v>0</v>
      </c>
    </row>
    <row r="54" spans="1:8" ht="18.75" customHeight="1" x14ac:dyDescent="0.25">
      <c r="A54" s="325"/>
      <c r="B54" s="214"/>
      <c r="C54" s="216"/>
      <c r="D54" s="246" t="s">
        <v>729</v>
      </c>
      <c r="E54" s="246"/>
      <c r="F54" s="246"/>
      <c r="G54" s="246"/>
      <c r="H54" s="43">
        <f>SUM(H49:H53)/5</f>
        <v>0</v>
      </c>
    </row>
    <row r="55" spans="1:8" ht="26.25" customHeight="1" x14ac:dyDescent="0.25">
      <c r="A55" s="45" t="s">
        <v>366</v>
      </c>
      <c r="B55" s="232" t="s">
        <v>367</v>
      </c>
      <c r="C55" s="206"/>
      <c r="D55" s="206"/>
      <c r="E55" s="206"/>
      <c r="F55" s="206"/>
      <c r="G55" s="206"/>
      <c r="H55" s="49">
        <v>0</v>
      </c>
    </row>
    <row r="56" spans="1:8" ht="21.75" customHeight="1" x14ac:dyDescent="0.25">
      <c r="A56" s="211" t="s">
        <v>368</v>
      </c>
      <c r="B56" s="232" t="s">
        <v>369</v>
      </c>
      <c r="C56" s="206"/>
      <c r="D56" s="206"/>
      <c r="E56" s="206"/>
      <c r="F56" s="206"/>
      <c r="G56" s="206"/>
      <c r="H56" s="49">
        <v>0</v>
      </c>
    </row>
    <row r="57" spans="1:8" x14ac:dyDescent="0.25">
      <c r="A57" s="211"/>
      <c r="B57" s="224" t="s">
        <v>370</v>
      </c>
      <c r="C57" s="244"/>
      <c r="D57" s="244"/>
      <c r="E57" s="244"/>
      <c r="F57" s="206"/>
      <c r="G57" s="206"/>
      <c r="H57" s="43" t="str">
        <f>IF(COUNTIF(H58:H61,"YA")=4,"4",IF(COUNTIF(H58:H61,"YA")=3,"3",IF(COUNTIF(H58:H61,"YA")=2,"2",IF(COUNTIF(H58:H61,"YA")=1,"1","0"))))</f>
        <v>4</v>
      </c>
    </row>
    <row r="58" spans="1:8" x14ac:dyDescent="0.25">
      <c r="A58" s="211"/>
      <c r="B58" s="293"/>
      <c r="C58" s="293"/>
      <c r="D58" s="250" t="s">
        <v>371</v>
      </c>
      <c r="E58" s="250"/>
      <c r="F58" s="250"/>
      <c r="G58" s="250"/>
      <c r="H58" s="175" t="s">
        <v>375</v>
      </c>
    </row>
    <row r="59" spans="1:8" x14ac:dyDescent="0.25">
      <c r="A59" s="211"/>
      <c r="B59" s="293"/>
      <c r="C59" s="293"/>
      <c r="D59" s="250" t="s">
        <v>372</v>
      </c>
      <c r="E59" s="250"/>
      <c r="F59" s="250"/>
      <c r="G59" s="250"/>
      <c r="H59" s="175" t="s">
        <v>375</v>
      </c>
    </row>
    <row r="60" spans="1:8" x14ac:dyDescent="0.25">
      <c r="A60" s="211"/>
      <c r="B60" s="293"/>
      <c r="C60" s="293"/>
      <c r="D60" s="250" t="s">
        <v>373</v>
      </c>
      <c r="E60" s="250"/>
      <c r="F60" s="250"/>
      <c r="G60" s="250"/>
      <c r="H60" s="175" t="s">
        <v>375</v>
      </c>
    </row>
    <row r="61" spans="1:8" x14ac:dyDescent="0.25">
      <c r="A61" s="211"/>
      <c r="B61" s="294"/>
      <c r="C61" s="294"/>
      <c r="D61" s="256" t="s">
        <v>374</v>
      </c>
      <c r="E61" s="256"/>
      <c r="F61" s="256"/>
      <c r="G61" s="256"/>
      <c r="H61" s="175" t="s">
        <v>375</v>
      </c>
    </row>
    <row r="62" spans="1:8" x14ac:dyDescent="0.25">
      <c r="A62" s="211"/>
      <c r="B62" s="207" t="s">
        <v>376</v>
      </c>
      <c r="C62" s="208"/>
      <c r="D62" s="208"/>
      <c r="E62" s="208"/>
      <c r="F62" s="208"/>
      <c r="G62" s="208"/>
      <c r="H62" s="43">
        <f>H67</f>
        <v>0</v>
      </c>
    </row>
    <row r="63" spans="1:8" x14ac:dyDescent="0.25">
      <c r="A63" s="211"/>
      <c r="B63" s="212"/>
      <c r="C63" s="213"/>
      <c r="D63" s="329" t="s">
        <v>712</v>
      </c>
      <c r="E63" s="329"/>
      <c r="F63" s="329"/>
      <c r="G63" s="329"/>
      <c r="H63" s="327">
        <v>0</v>
      </c>
    </row>
    <row r="64" spans="1:8" x14ac:dyDescent="0.25">
      <c r="A64" s="211"/>
      <c r="B64" s="212"/>
      <c r="C64" s="213"/>
      <c r="D64" s="329" t="s">
        <v>713</v>
      </c>
      <c r="E64" s="329"/>
      <c r="F64" s="329"/>
      <c r="G64" s="329"/>
      <c r="H64" s="327">
        <v>0</v>
      </c>
    </row>
    <row r="65" spans="1:8" x14ac:dyDescent="0.25">
      <c r="A65" s="211"/>
      <c r="B65" s="212"/>
      <c r="C65" s="213"/>
      <c r="D65" s="329" t="s">
        <v>714</v>
      </c>
      <c r="E65" s="329"/>
      <c r="F65" s="329"/>
      <c r="G65" s="329"/>
      <c r="H65" s="327">
        <v>0</v>
      </c>
    </row>
    <row r="66" spans="1:8" x14ac:dyDescent="0.25">
      <c r="A66" s="211"/>
      <c r="B66" s="212"/>
      <c r="C66" s="213"/>
      <c r="D66" s="329" t="s">
        <v>715</v>
      </c>
      <c r="E66" s="329"/>
      <c r="F66" s="329"/>
      <c r="G66" s="329"/>
      <c r="H66" s="328">
        <v>0</v>
      </c>
    </row>
    <row r="67" spans="1:8" x14ac:dyDescent="0.25">
      <c r="A67" s="211"/>
      <c r="B67" s="214"/>
      <c r="C67" s="216"/>
      <c r="D67" s="329" t="s">
        <v>716</v>
      </c>
      <c r="E67" s="329"/>
      <c r="F67" s="329"/>
      <c r="G67" s="329"/>
      <c r="H67" s="42">
        <f>IF((H63+H64+H65+H66)&gt;7,"Salah Isi",(((4*H63)+(3*H64)+(2*H65)+H66))/7)</f>
        <v>0</v>
      </c>
    </row>
    <row r="68" spans="1:8" ht="24.75" customHeight="1" x14ac:dyDescent="0.25">
      <c r="A68" s="211"/>
      <c r="B68" s="232" t="s">
        <v>377</v>
      </c>
      <c r="C68" s="206"/>
      <c r="D68" s="206"/>
      <c r="E68" s="206"/>
      <c r="F68" s="206"/>
      <c r="G68" s="206"/>
      <c r="H68" s="49">
        <v>0</v>
      </c>
    </row>
    <row r="69" spans="1:8" x14ac:dyDescent="0.25">
      <c r="A69" s="211"/>
      <c r="B69" s="248" t="s">
        <v>378</v>
      </c>
      <c r="C69" s="249"/>
      <c r="D69" s="249"/>
      <c r="E69" s="249"/>
      <c r="F69" s="250"/>
      <c r="G69" s="250"/>
      <c r="H69" s="43">
        <f>IF(H70&lt;6,4,IF(H70&lt;12,3,IF(H70&lt;18,2,IF(H70&lt;24,1,0))))</f>
        <v>4</v>
      </c>
    </row>
    <row r="70" spans="1:8" ht="36" customHeight="1" x14ac:dyDescent="0.25">
      <c r="A70" s="211"/>
      <c r="B70" s="294"/>
      <c r="C70" s="294"/>
      <c r="D70" s="231" t="s">
        <v>379</v>
      </c>
      <c r="E70" s="314"/>
      <c r="F70" s="314"/>
      <c r="G70" s="232"/>
      <c r="H70" s="52">
        <v>0</v>
      </c>
    </row>
    <row r="71" spans="1:8" x14ac:dyDescent="0.25">
      <c r="A71" s="211"/>
      <c r="B71" s="248" t="s">
        <v>380</v>
      </c>
      <c r="C71" s="249"/>
      <c r="D71" s="249"/>
      <c r="E71" s="249"/>
      <c r="F71" s="250"/>
      <c r="G71" s="250"/>
      <c r="H71" s="43">
        <f>IF(H72&gt;80,4,IF(H72&lt;=20,0,IF(H72&lt;=40,1,IF(H72&lt;=60,2,3))))</f>
        <v>0</v>
      </c>
    </row>
    <row r="72" spans="1:8" ht="36" customHeight="1" x14ac:dyDescent="0.25">
      <c r="A72" s="211"/>
      <c r="B72" s="294"/>
      <c r="C72" s="294"/>
      <c r="D72" s="231" t="s">
        <v>381</v>
      </c>
      <c r="E72" s="314"/>
      <c r="F72" s="314"/>
      <c r="G72" s="232"/>
      <c r="H72" s="52">
        <v>0</v>
      </c>
    </row>
    <row r="73" spans="1:8" ht="24" customHeight="1" x14ac:dyDescent="0.25">
      <c r="A73" s="211"/>
      <c r="B73" s="224" t="s">
        <v>382</v>
      </c>
      <c r="C73" s="244"/>
      <c r="D73" s="244"/>
      <c r="E73" s="244"/>
      <c r="F73" s="206"/>
      <c r="G73" s="206"/>
      <c r="H73" s="43">
        <f>IF(H74&gt;10,4,IF(H74&lt;=0,0,IF(H74&lt;=2,1,IF(H74&lt;=5,2,3))))</f>
        <v>0</v>
      </c>
    </row>
    <row r="74" spans="1:8" ht="31.5" customHeight="1" x14ac:dyDescent="0.25">
      <c r="A74" s="211"/>
      <c r="B74" s="294"/>
      <c r="C74" s="294"/>
      <c r="D74" s="231" t="s">
        <v>92</v>
      </c>
      <c r="E74" s="314"/>
      <c r="F74" s="314"/>
      <c r="G74" s="232"/>
      <c r="H74" s="52">
        <v>0</v>
      </c>
    </row>
    <row r="75" spans="1:8" ht="25.5" customHeight="1" x14ac:dyDescent="0.25">
      <c r="A75" s="211" t="s">
        <v>383</v>
      </c>
      <c r="B75" s="207" t="s">
        <v>384</v>
      </c>
      <c r="C75" s="208"/>
      <c r="D75" s="208"/>
      <c r="E75" s="208"/>
      <c r="F75" s="209"/>
      <c r="G75" s="209"/>
      <c r="H75" s="43" t="str">
        <f>IF(COUNTIF(H76:H79,"YA")=4,"4",IF(COUNTIF(H76:H79,"YA")=3,"3",IF(COUNTIF(H76:H79,"YA")=2,"2",IF(COUNTIF(H76:H79,"YA")=1,"1","0"))))</f>
        <v>4</v>
      </c>
    </row>
    <row r="76" spans="1:8" ht="24" customHeight="1" x14ac:dyDescent="0.25">
      <c r="A76" s="211"/>
      <c r="B76" s="293"/>
      <c r="C76" s="293"/>
      <c r="D76" s="332" t="s">
        <v>385</v>
      </c>
      <c r="E76" s="257"/>
      <c r="F76" s="257"/>
      <c r="G76" s="207"/>
      <c r="H76" s="52" t="s">
        <v>375</v>
      </c>
    </row>
    <row r="77" spans="1:8" ht="24" customHeight="1" x14ac:dyDescent="0.25">
      <c r="A77" s="211"/>
      <c r="B77" s="293"/>
      <c r="C77" s="293"/>
      <c r="D77" s="333" t="s">
        <v>386</v>
      </c>
      <c r="E77" s="334"/>
      <c r="F77" s="334"/>
      <c r="G77" s="335"/>
      <c r="H77" s="52" t="s">
        <v>375</v>
      </c>
    </row>
    <row r="78" spans="1:8" ht="24" customHeight="1" x14ac:dyDescent="0.25">
      <c r="A78" s="211"/>
      <c r="B78" s="293"/>
      <c r="C78" s="293"/>
      <c r="D78" s="225" t="s">
        <v>387</v>
      </c>
      <c r="E78" s="307"/>
      <c r="F78" s="307"/>
      <c r="G78" s="226"/>
      <c r="H78" s="52" t="s">
        <v>375</v>
      </c>
    </row>
    <row r="79" spans="1:8" ht="24" customHeight="1" x14ac:dyDescent="0.25">
      <c r="A79" s="211"/>
      <c r="B79" s="294"/>
      <c r="C79" s="294"/>
      <c r="D79" s="227" t="s">
        <v>388</v>
      </c>
      <c r="E79" s="308"/>
      <c r="F79" s="308"/>
      <c r="G79" s="228"/>
      <c r="H79" s="52" t="s">
        <v>375</v>
      </c>
    </row>
    <row r="80" spans="1:8" ht="51.75" customHeight="1" x14ac:dyDescent="0.25">
      <c r="A80" s="56" t="s">
        <v>398</v>
      </c>
      <c r="B80" s="217" t="s">
        <v>399</v>
      </c>
      <c r="C80" s="209"/>
      <c r="D80" s="209"/>
      <c r="E80" s="209"/>
      <c r="F80" s="209"/>
      <c r="G80" s="209"/>
      <c r="H80" s="49">
        <v>0</v>
      </c>
    </row>
    <row r="81" spans="1:8" ht="38.25" customHeight="1" x14ac:dyDescent="0.25">
      <c r="A81" s="211" t="s">
        <v>400</v>
      </c>
      <c r="B81" s="207" t="s">
        <v>401</v>
      </c>
      <c r="C81" s="208"/>
      <c r="D81" s="208"/>
      <c r="E81" s="208"/>
      <c r="F81" s="209"/>
      <c r="G81" s="209"/>
      <c r="H81" s="49">
        <v>0</v>
      </c>
    </row>
    <row r="82" spans="1:8" ht="30.75" customHeight="1" x14ac:dyDescent="0.25">
      <c r="A82" s="211"/>
      <c r="B82" s="207" t="s">
        <v>402</v>
      </c>
      <c r="C82" s="208"/>
      <c r="D82" s="208"/>
      <c r="E82" s="208"/>
      <c r="F82" s="209"/>
      <c r="G82" s="209"/>
      <c r="H82" s="49">
        <v>0</v>
      </c>
    </row>
    <row r="83" spans="1:8" ht="27.75" customHeight="1" x14ac:dyDescent="0.25">
      <c r="A83" s="211" t="s">
        <v>403</v>
      </c>
      <c r="B83" s="207" t="s">
        <v>407</v>
      </c>
      <c r="C83" s="208"/>
      <c r="D83" s="208"/>
      <c r="E83" s="208"/>
      <c r="F83" s="209"/>
      <c r="G83" s="209"/>
      <c r="H83" s="168">
        <f>IF(H86&gt;=90%,4,IF(H86&gt;30%,(20*H86-6)/3,0))</f>
        <v>0</v>
      </c>
    </row>
    <row r="84" spans="1:8" ht="23.25" customHeight="1" x14ac:dyDescent="0.25">
      <c r="A84" s="211"/>
      <c r="B84" s="57"/>
      <c r="C84" s="57"/>
      <c r="D84" s="206" t="s">
        <v>413</v>
      </c>
      <c r="E84" s="206"/>
      <c r="F84" s="206"/>
      <c r="G84" s="206"/>
      <c r="H84" s="175">
        <v>7</v>
      </c>
    </row>
    <row r="85" spans="1:8" ht="23.25" customHeight="1" x14ac:dyDescent="0.25">
      <c r="A85" s="211"/>
      <c r="B85" s="57"/>
      <c r="C85" s="57"/>
      <c r="D85" s="206" t="s">
        <v>442</v>
      </c>
      <c r="E85" s="206"/>
      <c r="F85" s="206"/>
      <c r="G85" s="206"/>
      <c r="H85" s="175">
        <v>0</v>
      </c>
    </row>
    <row r="86" spans="1:8" ht="46.5" customHeight="1" x14ac:dyDescent="0.25">
      <c r="A86" s="211"/>
      <c r="B86" s="176"/>
      <c r="C86" s="176"/>
      <c r="D86" s="206" t="s">
        <v>408</v>
      </c>
      <c r="E86" s="206"/>
      <c r="F86" s="206"/>
      <c r="G86" s="206"/>
      <c r="H86" s="43">
        <f>H85/H84*100%</f>
        <v>0</v>
      </c>
    </row>
    <row r="87" spans="1:8" ht="30" customHeight="1" x14ac:dyDescent="0.25">
      <c r="A87" s="339" t="s">
        <v>404</v>
      </c>
      <c r="B87" s="257" t="s">
        <v>409</v>
      </c>
      <c r="C87" s="257"/>
      <c r="D87" s="257"/>
      <c r="E87" s="257"/>
      <c r="F87" s="257"/>
      <c r="G87" s="207"/>
      <c r="H87" s="306">
        <f>IF(H89&gt;=40%,"4",1+(15*H89)/2)</f>
        <v>1</v>
      </c>
    </row>
    <row r="88" spans="1:8" ht="43.5" customHeight="1" x14ac:dyDescent="0.25">
      <c r="A88" s="340"/>
      <c r="B88" s="57"/>
      <c r="C88" s="57"/>
      <c r="D88" s="206" t="s">
        <v>443</v>
      </c>
      <c r="E88" s="206"/>
      <c r="F88" s="206"/>
      <c r="G88" s="206"/>
      <c r="H88" s="175">
        <v>0</v>
      </c>
    </row>
    <row r="89" spans="1:8" ht="43.5" customHeight="1" x14ac:dyDescent="0.25">
      <c r="A89" s="341"/>
      <c r="B89" s="176"/>
      <c r="C89" s="176"/>
      <c r="D89" s="206" t="s">
        <v>410</v>
      </c>
      <c r="E89" s="206"/>
      <c r="F89" s="206"/>
      <c r="G89" s="206"/>
      <c r="H89" s="43">
        <f>H88/H84*100%</f>
        <v>0</v>
      </c>
    </row>
    <row r="90" spans="1:8" ht="30" customHeight="1" x14ac:dyDescent="0.25">
      <c r="A90" s="47"/>
      <c r="B90" s="337" t="s">
        <v>411</v>
      </c>
      <c r="C90" s="338"/>
      <c r="D90" s="338"/>
      <c r="E90" s="338"/>
      <c r="F90" s="338"/>
      <c r="G90" s="217"/>
      <c r="H90" s="43">
        <f>IF(AND(H91="IPS",H93&gt;60),0,IF(AND(H91="IPS",H93&lt;=10),0,IF(AND(H91="IPS",H93&lt;=15),1,IF(AND(H91="IPS",H93&lt;=20),2,IF(AND(H91="IPS",H93&lt;=27),3,IF(AND(H91="IPS",H93&lt;=33),4,IF(AND(H91="IPS",H93&lt;=40),3,IF(AND(H91="IPS",H93&lt;=50),2,IF(AND(H91="IPS",H93&lt;=60),1,IF(AND(H91="Non-IPS",H93&gt;50),0,IF(AND(H91="Non-IPS",H93&lt;=3),0,IF(AND(H91="Non-IPS",H93&lt;=7),1,IF(AND(H91="Non-IPS",H93&lt;=11),2,IF(AND(H91="Non-IPS",H93&lt;=17),3,IF(AND(H91="Non-IPS",H93&lt;=23),4,IF(AND(H91="Non-IPS",H93&lt;=30),3,IF(AND(H91="Non-IPS",H93&lt;=40),2,IF(AND(H91="Non-IPS",H93&lt;=50),1))))))))))))))))))</f>
        <v>0</v>
      </c>
    </row>
    <row r="91" spans="1:8" ht="19.5" customHeight="1" x14ac:dyDescent="0.25">
      <c r="A91" s="339" t="s">
        <v>730</v>
      </c>
      <c r="B91" s="330"/>
      <c r="C91" s="331"/>
      <c r="D91" s="206" t="s">
        <v>460</v>
      </c>
      <c r="E91" s="206"/>
      <c r="F91" s="206"/>
      <c r="G91" s="206"/>
      <c r="H91" s="175" t="s">
        <v>461</v>
      </c>
    </row>
    <row r="92" spans="1:8" ht="19.5" customHeight="1" x14ac:dyDescent="0.25">
      <c r="A92" s="340"/>
      <c r="B92" s="219"/>
      <c r="C92" s="220"/>
      <c r="D92" s="231" t="s">
        <v>412</v>
      </c>
      <c r="E92" s="314"/>
      <c r="F92" s="314"/>
      <c r="G92" s="232"/>
      <c r="H92" s="175">
        <v>0</v>
      </c>
    </row>
    <row r="93" spans="1:8" ht="19.5" customHeight="1" x14ac:dyDescent="0.25">
      <c r="A93" s="341"/>
      <c r="B93" s="221"/>
      <c r="C93" s="222"/>
      <c r="D93" s="246" t="s">
        <v>729</v>
      </c>
      <c r="E93" s="246"/>
      <c r="F93" s="246"/>
      <c r="G93" s="246"/>
      <c r="H93" s="44">
        <f>H92/H84</f>
        <v>0</v>
      </c>
    </row>
    <row r="94" spans="1:8" ht="29.25" customHeight="1" x14ac:dyDescent="0.25">
      <c r="A94" s="61" t="s">
        <v>405</v>
      </c>
      <c r="B94" s="257" t="s">
        <v>414</v>
      </c>
      <c r="C94" s="257"/>
      <c r="D94" s="257"/>
      <c r="E94" s="257"/>
      <c r="F94" s="257"/>
      <c r="G94" s="207"/>
      <c r="H94" s="306" t="str">
        <f>IF(H96&gt;40,"4",IF(H96&lt;=10,"0",IF(H96&lt;=20,"1",IF(H96&lt;=30,"2","3"))))</f>
        <v>0</v>
      </c>
    </row>
    <row r="95" spans="1:8" ht="29.25" customHeight="1" x14ac:dyDescent="0.25">
      <c r="A95" s="61"/>
      <c r="B95" s="342"/>
      <c r="C95" s="342"/>
      <c r="D95" s="206" t="s">
        <v>444</v>
      </c>
      <c r="E95" s="206"/>
      <c r="F95" s="206"/>
      <c r="G95" s="206"/>
      <c r="H95" s="175">
        <v>0</v>
      </c>
    </row>
    <row r="96" spans="1:8" ht="29.25" customHeight="1" x14ac:dyDescent="0.25">
      <c r="A96" s="260" t="s">
        <v>406</v>
      </c>
      <c r="B96" s="343"/>
      <c r="C96" s="343"/>
      <c r="D96" s="206" t="s">
        <v>415</v>
      </c>
      <c r="E96" s="206"/>
      <c r="F96" s="206"/>
      <c r="G96" s="206"/>
      <c r="H96" s="43">
        <f>H95/H84*100</f>
        <v>0</v>
      </c>
    </row>
    <row r="97" spans="1:8" ht="18.75" customHeight="1" x14ac:dyDescent="0.25">
      <c r="A97" s="260"/>
      <c r="B97" s="257" t="s">
        <v>416</v>
      </c>
      <c r="C97" s="257"/>
      <c r="D97" s="257"/>
      <c r="E97" s="257"/>
      <c r="F97" s="257"/>
      <c r="G97" s="207"/>
      <c r="H97" s="306" t="str">
        <f>IF(H96&gt;80,"4",IF(H96&lt;=20,"0",IF(H96&lt;=40,"1",IF(H96&lt;=60,"2","3"))))</f>
        <v>0</v>
      </c>
    </row>
    <row r="98" spans="1:8" ht="33" customHeight="1" x14ac:dyDescent="0.25">
      <c r="A98" s="260"/>
      <c r="B98" s="342"/>
      <c r="C98" s="342"/>
      <c r="D98" s="206" t="s">
        <v>445</v>
      </c>
      <c r="E98" s="206"/>
      <c r="F98" s="206"/>
      <c r="G98" s="206"/>
      <c r="H98" s="175">
        <v>0</v>
      </c>
    </row>
    <row r="99" spans="1:8" ht="33" customHeight="1" x14ac:dyDescent="0.25">
      <c r="A99" s="260"/>
      <c r="B99" s="343"/>
      <c r="C99" s="343"/>
      <c r="D99" s="206" t="s">
        <v>417</v>
      </c>
      <c r="E99" s="206"/>
      <c r="F99" s="206"/>
      <c r="G99" s="206"/>
      <c r="H99" s="43">
        <f>H98/H84*100</f>
        <v>0</v>
      </c>
    </row>
    <row r="100" spans="1:8" ht="15" customHeight="1" x14ac:dyDescent="0.25">
      <c r="A100" s="260"/>
      <c r="B100" s="257" t="s">
        <v>418</v>
      </c>
      <c r="C100" s="257"/>
      <c r="D100" s="257"/>
      <c r="E100" s="257"/>
      <c r="F100" s="257"/>
      <c r="G100" s="207"/>
      <c r="H100" s="43">
        <f>IF(H102&lt;=5,1,IF(H102&lt;11,(H102-3)/2, IF(H102&lt;=13,4,IF(H102&lt;21, (71-3*H102)/8,1))))</f>
        <v>1</v>
      </c>
    </row>
    <row r="101" spans="1:8" ht="15" customHeight="1" x14ac:dyDescent="0.25">
      <c r="A101" s="260"/>
      <c r="B101" s="57"/>
      <c r="C101" s="57"/>
      <c r="D101" s="206" t="s">
        <v>462</v>
      </c>
      <c r="E101" s="206"/>
      <c r="F101" s="206"/>
      <c r="G101" s="206"/>
      <c r="H101" s="52">
        <v>0</v>
      </c>
    </row>
    <row r="102" spans="1:8" x14ac:dyDescent="0.25">
      <c r="A102" s="260"/>
      <c r="B102" s="174"/>
      <c r="C102" s="174"/>
      <c r="D102" s="206" t="s">
        <v>463</v>
      </c>
      <c r="E102" s="206"/>
      <c r="F102" s="206"/>
      <c r="G102" s="206"/>
      <c r="H102" s="43">
        <f>H101</f>
        <v>0</v>
      </c>
    </row>
    <row r="103" spans="1:8" ht="27.75" customHeight="1" x14ac:dyDescent="0.25">
      <c r="A103" s="260"/>
      <c r="B103" s="257" t="s">
        <v>419</v>
      </c>
      <c r="C103" s="257"/>
      <c r="D103" s="257"/>
      <c r="E103" s="257"/>
      <c r="F103" s="257"/>
      <c r="G103" s="207"/>
      <c r="H103" s="59">
        <v>4</v>
      </c>
    </row>
    <row r="104" spans="1:8" ht="15" customHeight="1" x14ac:dyDescent="0.25">
      <c r="A104" s="260"/>
      <c r="B104" s="257" t="s">
        <v>420</v>
      </c>
      <c r="C104" s="257"/>
      <c r="D104" s="257"/>
      <c r="E104" s="257"/>
      <c r="F104" s="257"/>
      <c r="G104" s="207"/>
      <c r="H104" s="306">
        <f>IF(H105&lt;12,0,IF(H107&lt;=75%,0,IF(H107&lt;95%,(20*H107)-15,4)))</f>
        <v>0</v>
      </c>
    </row>
    <row r="105" spans="1:8" ht="27.75" customHeight="1" x14ac:dyDescent="0.25">
      <c r="A105" s="260"/>
      <c r="B105" s="57"/>
      <c r="C105" s="57"/>
      <c r="D105" s="206" t="s">
        <v>709</v>
      </c>
      <c r="E105" s="206"/>
      <c r="F105" s="206"/>
      <c r="G105" s="206"/>
      <c r="H105" s="175">
        <v>0</v>
      </c>
    </row>
    <row r="106" spans="1:8" ht="27.75" customHeight="1" x14ac:dyDescent="0.25">
      <c r="A106" s="260"/>
      <c r="B106" s="57"/>
      <c r="C106" s="57"/>
      <c r="D106" s="206" t="s">
        <v>710</v>
      </c>
      <c r="E106" s="206"/>
      <c r="F106" s="206"/>
      <c r="G106" s="206"/>
      <c r="H106" s="175">
        <v>0</v>
      </c>
    </row>
    <row r="107" spans="1:8" ht="45" customHeight="1" x14ac:dyDescent="0.25">
      <c r="A107" s="260"/>
      <c r="B107" s="174"/>
      <c r="C107" s="174"/>
      <c r="D107" s="206" t="s">
        <v>421</v>
      </c>
      <c r="E107" s="206"/>
      <c r="F107" s="206"/>
      <c r="G107" s="206"/>
      <c r="H107" s="43" t="e">
        <f>H106/H105</f>
        <v>#DIV/0!</v>
      </c>
    </row>
    <row r="108" spans="1:8" ht="33.75" customHeight="1" x14ac:dyDescent="0.25">
      <c r="A108" s="211" t="s">
        <v>422</v>
      </c>
      <c r="B108" s="257" t="s">
        <v>423</v>
      </c>
      <c r="C108" s="257"/>
      <c r="D108" s="257"/>
      <c r="E108" s="257"/>
      <c r="F108" s="257"/>
      <c r="G108" s="207"/>
      <c r="H108" s="306">
        <f>IF(H109=0,4,IF(H111&lt;=10%,"4",IF(H111&lt;50%,5-10*H111,0)))</f>
        <v>4</v>
      </c>
    </row>
    <row r="109" spans="1:8" ht="33.75" customHeight="1" x14ac:dyDescent="0.25">
      <c r="A109" s="211"/>
      <c r="B109" s="57"/>
      <c r="C109" s="57"/>
      <c r="D109" s="206" t="s">
        <v>464</v>
      </c>
      <c r="E109" s="206"/>
      <c r="F109" s="206"/>
      <c r="G109" s="206"/>
      <c r="H109" s="175">
        <v>0</v>
      </c>
    </row>
    <row r="110" spans="1:8" ht="33.75" customHeight="1" x14ac:dyDescent="0.25">
      <c r="A110" s="211"/>
      <c r="B110" s="57"/>
      <c r="C110" s="57"/>
      <c r="D110" s="344" t="s">
        <v>711</v>
      </c>
      <c r="E110" s="344"/>
      <c r="F110" s="344"/>
      <c r="G110" s="344"/>
      <c r="H110" s="43">
        <v>7</v>
      </c>
    </row>
    <row r="111" spans="1:8" x14ac:dyDescent="0.25">
      <c r="A111" s="211"/>
      <c r="B111" s="174"/>
      <c r="C111" s="174"/>
      <c r="D111" s="206" t="s">
        <v>424</v>
      </c>
      <c r="E111" s="206"/>
      <c r="F111" s="206"/>
      <c r="G111" s="206"/>
      <c r="H111" s="43">
        <f>(H109/(H109+H110))*100%</f>
        <v>0</v>
      </c>
    </row>
    <row r="112" spans="1:8" ht="27.75" customHeight="1" x14ac:dyDescent="0.25">
      <c r="A112" s="211"/>
      <c r="B112" s="257" t="s">
        <v>425</v>
      </c>
      <c r="C112" s="257"/>
      <c r="D112" s="257"/>
      <c r="E112" s="257"/>
      <c r="F112" s="257"/>
      <c r="G112" s="207"/>
      <c r="H112" s="49">
        <v>0</v>
      </c>
    </row>
    <row r="113" spans="1:8" ht="15" customHeight="1" x14ac:dyDescent="0.25">
      <c r="A113" s="211"/>
      <c r="B113" s="257" t="s">
        <v>426</v>
      </c>
      <c r="C113" s="257"/>
      <c r="D113" s="257"/>
      <c r="E113" s="257"/>
      <c r="F113" s="257"/>
      <c r="G113" s="207"/>
      <c r="H113" s="306" t="e">
        <f>IF(H116&gt;95,"4",IF(H116&lt;=80,"0",IF(H116&lt;=85,"1",IF(H116&lt;=90,"2","3"))))</f>
        <v>#DIV/0!</v>
      </c>
    </row>
    <row r="114" spans="1:8" ht="33.75" customHeight="1" x14ac:dyDescent="0.25">
      <c r="A114" s="211"/>
      <c r="B114" s="345"/>
      <c r="C114" s="342"/>
      <c r="D114" s="206" t="s">
        <v>465</v>
      </c>
      <c r="E114" s="206"/>
      <c r="F114" s="206"/>
      <c r="G114" s="206"/>
      <c r="H114" s="175">
        <v>0</v>
      </c>
    </row>
    <row r="115" spans="1:8" ht="33.75" customHeight="1" x14ac:dyDescent="0.25">
      <c r="A115" s="211"/>
      <c r="B115" s="345"/>
      <c r="C115" s="342"/>
      <c r="D115" s="206" t="s">
        <v>466</v>
      </c>
      <c r="E115" s="206"/>
      <c r="F115" s="206"/>
      <c r="G115" s="206"/>
      <c r="H115" s="175">
        <v>0</v>
      </c>
    </row>
    <row r="116" spans="1:8" ht="41.25" customHeight="1" x14ac:dyDescent="0.25">
      <c r="A116" s="211"/>
      <c r="B116" s="346"/>
      <c r="C116" s="343"/>
      <c r="D116" s="206" t="s">
        <v>427</v>
      </c>
      <c r="E116" s="206"/>
      <c r="F116" s="206"/>
      <c r="G116" s="206"/>
      <c r="H116" s="43" t="e">
        <f>H115/H114*100</f>
        <v>#DIV/0!</v>
      </c>
    </row>
    <row r="117" spans="1:8" ht="43.5" customHeight="1" x14ac:dyDescent="0.25">
      <c r="A117" s="211" t="s">
        <v>430</v>
      </c>
      <c r="B117" s="257" t="s">
        <v>428</v>
      </c>
      <c r="C117" s="257"/>
      <c r="D117" s="257"/>
      <c r="E117" s="257"/>
      <c r="F117" s="257"/>
      <c r="G117" s="207"/>
      <c r="H117" s="43" t="str">
        <f>IF(H118&gt;=12,"4",IF(H118=0,"0",IF(H118&lt;4,"1",IF(H118&lt;=7,"2","3"))))</f>
        <v>0</v>
      </c>
    </row>
    <row r="118" spans="1:8" ht="15" customHeight="1" x14ac:dyDescent="0.25">
      <c r="A118" s="211"/>
      <c r="B118" s="342"/>
      <c r="C118" s="342"/>
      <c r="D118" s="231" t="s">
        <v>429</v>
      </c>
      <c r="E118" s="314"/>
      <c r="F118" s="314"/>
      <c r="G118" s="232"/>
      <c r="H118" s="52"/>
    </row>
    <row r="119" spans="1:8" ht="28.5" customHeight="1" x14ac:dyDescent="0.25">
      <c r="A119" s="211"/>
      <c r="B119" s="257" t="s">
        <v>431</v>
      </c>
      <c r="C119" s="257"/>
      <c r="D119" s="257"/>
      <c r="E119" s="257"/>
      <c r="F119" s="257"/>
      <c r="G119" s="207"/>
      <c r="H119" s="306" t="str">
        <f>IF(H122&gt;=4,"4",IF(H122&lt;1,"0",IF(H122&lt;2,"1",IF(H122&lt;3,"2","3"))))</f>
        <v>0</v>
      </c>
    </row>
    <row r="120" spans="1:8" ht="60" customHeight="1" x14ac:dyDescent="0.25">
      <c r="A120" s="211"/>
      <c r="B120" s="342"/>
      <c r="C120" s="342"/>
      <c r="D120" s="206" t="s">
        <v>432</v>
      </c>
      <c r="E120" s="206"/>
      <c r="F120" s="206"/>
      <c r="G120" s="206"/>
      <c r="H120" s="175">
        <v>0</v>
      </c>
    </row>
    <row r="121" spans="1:8" ht="47.25" customHeight="1" x14ac:dyDescent="0.25">
      <c r="A121" s="211"/>
      <c r="B121" s="342"/>
      <c r="C121" s="342"/>
      <c r="D121" s="206" t="s">
        <v>433</v>
      </c>
      <c r="E121" s="206"/>
      <c r="F121" s="206"/>
      <c r="G121" s="206"/>
      <c r="H121" s="175">
        <v>0</v>
      </c>
    </row>
    <row r="122" spans="1:8" ht="24" customHeight="1" x14ac:dyDescent="0.25">
      <c r="A122" s="211"/>
      <c r="B122" s="343"/>
      <c r="C122" s="343"/>
      <c r="D122" s="206" t="s">
        <v>434</v>
      </c>
      <c r="E122" s="206"/>
      <c r="F122" s="206"/>
      <c r="G122" s="206"/>
      <c r="H122" s="43">
        <f>0.75*H120+1.25*H121</f>
        <v>0</v>
      </c>
    </row>
    <row r="123" spans="1:8" ht="52.5" customHeight="1" x14ac:dyDescent="0.25">
      <c r="A123" s="211"/>
      <c r="B123" s="257" t="s">
        <v>435</v>
      </c>
      <c r="C123" s="257"/>
      <c r="D123" s="257"/>
      <c r="E123" s="257"/>
      <c r="F123" s="257"/>
      <c r="G123" s="207"/>
      <c r="H123" s="306" t="str">
        <f>IF(H127&gt;1.5,"4",IF(H127=0,"0",IF(H127&lt;=0.5,"1",IF(H127&lt;=1,"2","3"))))</f>
        <v>0</v>
      </c>
    </row>
    <row r="124" spans="1:8" ht="26.25" customHeight="1" x14ac:dyDescent="0.25">
      <c r="A124" s="211"/>
      <c r="B124" s="342"/>
      <c r="C124" s="342"/>
      <c r="D124" s="206" t="s">
        <v>436</v>
      </c>
      <c r="E124" s="206"/>
      <c r="F124" s="206"/>
      <c r="G124" s="206"/>
      <c r="H124" s="175">
        <v>0</v>
      </c>
    </row>
    <row r="125" spans="1:8" ht="28.5" customHeight="1" x14ac:dyDescent="0.25">
      <c r="A125" s="211"/>
      <c r="B125" s="342"/>
      <c r="C125" s="342"/>
      <c r="D125" s="206" t="s">
        <v>437</v>
      </c>
      <c r="E125" s="206"/>
      <c r="F125" s="206"/>
      <c r="G125" s="206"/>
      <c r="H125" s="175">
        <v>0</v>
      </c>
    </row>
    <row r="126" spans="1:8" ht="15" customHeight="1" x14ac:dyDescent="0.25">
      <c r="A126" s="211"/>
      <c r="B126" s="342"/>
      <c r="C126" s="342"/>
      <c r="D126" s="206" t="s">
        <v>438</v>
      </c>
      <c r="E126" s="206"/>
      <c r="F126" s="206"/>
      <c r="G126" s="206"/>
      <c r="H126" s="43">
        <f>H84</f>
        <v>7</v>
      </c>
    </row>
    <row r="127" spans="1:8" x14ac:dyDescent="0.25">
      <c r="A127" s="211"/>
      <c r="B127" s="343"/>
      <c r="C127" s="343"/>
      <c r="D127" s="206" t="s">
        <v>439</v>
      </c>
      <c r="E127" s="206"/>
      <c r="F127" s="206"/>
      <c r="G127" s="206"/>
      <c r="H127" s="43">
        <f>(H124+(H125/4))/H126</f>
        <v>0</v>
      </c>
    </row>
    <row r="128" spans="1:8" ht="42.75" customHeight="1" x14ac:dyDescent="0.25">
      <c r="A128" s="211"/>
      <c r="B128" s="257" t="s">
        <v>440</v>
      </c>
      <c r="C128" s="257"/>
      <c r="D128" s="257"/>
      <c r="E128" s="257"/>
      <c r="F128" s="257"/>
      <c r="G128" s="207"/>
      <c r="H128" s="49">
        <v>0</v>
      </c>
    </row>
    <row r="129" spans="1:8" ht="27" customHeight="1" x14ac:dyDescent="0.25">
      <c r="A129" s="211"/>
      <c r="B129" s="257" t="s">
        <v>441</v>
      </c>
      <c r="C129" s="257"/>
      <c r="D129" s="257"/>
      <c r="E129" s="257"/>
      <c r="F129" s="257"/>
      <c r="G129" s="207"/>
      <c r="H129" s="306">
        <f>IF(H130=0,0,IF(H130&lt;50%,(1+6*H130),4))</f>
        <v>0</v>
      </c>
    </row>
    <row r="130" spans="1:8" ht="40.5" customHeight="1" x14ac:dyDescent="0.25">
      <c r="A130" s="211"/>
      <c r="B130" s="342"/>
      <c r="C130" s="342"/>
      <c r="D130" s="347" t="s">
        <v>731</v>
      </c>
      <c r="E130" s="348"/>
      <c r="F130" s="348"/>
      <c r="G130" s="349"/>
      <c r="H130" s="350">
        <v>0</v>
      </c>
    </row>
    <row r="131" spans="1:8" ht="18.75" customHeight="1" x14ac:dyDescent="0.25">
      <c r="A131" s="210" t="s">
        <v>446</v>
      </c>
      <c r="B131" s="257" t="s">
        <v>447</v>
      </c>
      <c r="C131" s="257"/>
      <c r="D131" s="257"/>
      <c r="E131" s="257"/>
      <c r="F131" s="257"/>
      <c r="G131" s="207"/>
      <c r="H131" s="43" t="str">
        <f>IF(H135&gt;=4,"4",IF(H135&lt;1,"0",IF(H135&lt;2,"1",IF(H135&lt;3,"2","3"))))</f>
        <v>0</v>
      </c>
    </row>
    <row r="132" spans="1:8" ht="28.5" customHeight="1" x14ac:dyDescent="0.25">
      <c r="A132" s="210"/>
      <c r="B132" s="342"/>
      <c r="C132" s="342"/>
      <c r="D132" s="206" t="s">
        <v>448</v>
      </c>
      <c r="E132" s="206"/>
      <c r="F132" s="206"/>
      <c r="G132" s="206"/>
      <c r="H132" s="52">
        <v>0</v>
      </c>
    </row>
    <row r="133" spans="1:8" ht="28.5" customHeight="1" x14ac:dyDescent="0.25">
      <c r="A133" s="210"/>
      <c r="B133" s="342"/>
      <c r="C133" s="342"/>
      <c r="D133" s="206" t="s">
        <v>449</v>
      </c>
      <c r="E133" s="206"/>
      <c r="F133" s="206"/>
      <c r="G133" s="206"/>
      <c r="H133" s="52">
        <v>0</v>
      </c>
    </row>
    <row r="134" spans="1:8" ht="28.5" customHeight="1" x14ac:dyDescent="0.25">
      <c r="A134" s="210"/>
      <c r="B134" s="342"/>
      <c r="C134" s="342"/>
      <c r="D134" s="206" t="s">
        <v>450</v>
      </c>
      <c r="E134" s="206"/>
      <c r="F134" s="206"/>
      <c r="G134" s="206"/>
      <c r="H134" s="52">
        <v>0</v>
      </c>
    </row>
    <row r="135" spans="1:8" ht="28.5" customHeight="1" x14ac:dyDescent="0.25">
      <c r="A135" s="210"/>
      <c r="B135" s="343"/>
      <c r="C135" s="343"/>
      <c r="D135" s="206" t="s">
        <v>451</v>
      </c>
      <c r="E135" s="206"/>
      <c r="F135" s="206"/>
      <c r="G135" s="206"/>
      <c r="H135" s="43">
        <f>(4*H132+3*H133+2*H134)/4</f>
        <v>0</v>
      </c>
    </row>
    <row r="136" spans="1:8" ht="26.25" customHeight="1" x14ac:dyDescent="0.25">
      <c r="A136" s="210"/>
      <c r="B136" s="257" t="s">
        <v>452</v>
      </c>
      <c r="C136" s="257"/>
      <c r="D136" s="257"/>
      <c r="E136" s="257"/>
      <c r="F136" s="257"/>
      <c r="G136" s="207"/>
      <c r="H136" s="49">
        <v>0</v>
      </c>
    </row>
    <row r="137" spans="1:8" ht="21" customHeight="1" x14ac:dyDescent="0.25">
      <c r="A137" s="210"/>
      <c r="B137" s="257" t="s">
        <v>453</v>
      </c>
      <c r="C137" s="257"/>
      <c r="D137" s="257"/>
      <c r="E137" s="257"/>
      <c r="F137" s="257"/>
      <c r="G137" s="207"/>
      <c r="H137" s="43" t="str">
        <f>IF(H142&gt;=4,"4",IF(H142&lt;1,"0",IF(H142&lt;2,"1",IF(H1410&lt;3,"2","3"))))</f>
        <v>0</v>
      </c>
    </row>
    <row r="138" spans="1:8" ht="30" customHeight="1" x14ac:dyDescent="0.25">
      <c r="A138" s="210"/>
      <c r="B138" s="342"/>
      <c r="C138" s="342"/>
      <c r="D138" s="225" t="s">
        <v>454</v>
      </c>
      <c r="E138" s="307"/>
      <c r="F138" s="307"/>
      <c r="G138" s="226"/>
      <c r="H138" s="52">
        <v>0</v>
      </c>
    </row>
    <row r="139" spans="1:8" ht="30" customHeight="1" x14ac:dyDescent="0.25">
      <c r="A139" s="210"/>
      <c r="B139" s="342"/>
      <c r="C139" s="342"/>
      <c r="D139" s="225" t="s">
        <v>455</v>
      </c>
      <c r="E139" s="307"/>
      <c r="F139" s="307"/>
      <c r="G139" s="226"/>
      <c r="H139" s="52">
        <v>0</v>
      </c>
    </row>
    <row r="140" spans="1:8" ht="30" customHeight="1" x14ac:dyDescent="0.25">
      <c r="A140" s="210"/>
      <c r="B140" s="342"/>
      <c r="C140" s="342"/>
      <c r="D140" s="225" t="s">
        <v>456</v>
      </c>
      <c r="E140" s="307"/>
      <c r="F140" s="307"/>
      <c r="G140" s="226"/>
      <c r="H140" s="52">
        <v>0</v>
      </c>
    </row>
    <row r="141" spans="1:8" ht="30" customHeight="1" x14ac:dyDescent="0.25">
      <c r="A141" s="210"/>
      <c r="B141" s="342"/>
      <c r="C141" s="342"/>
      <c r="D141" s="225" t="s">
        <v>457</v>
      </c>
      <c r="E141" s="307"/>
      <c r="F141" s="307"/>
      <c r="G141" s="226"/>
      <c r="H141" s="52">
        <v>0</v>
      </c>
    </row>
    <row r="142" spans="1:8" ht="21.75" customHeight="1" x14ac:dyDescent="0.25">
      <c r="A142" s="210"/>
      <c r="B142" s="343"/>
      <c r="C142" s="343"/>
      <c r="D142" s="227" t="s">
        <v>458</v>
      </c>
      <c r="E142" s="308"/>
      <c r="F142" s="308"/>
      <c r="G142" s="228"/>
      <c r="H142" s="43">
        <f>(4*H138+3*H139+2*H140+H141)/4</f>
        <v>0</v>
      </c>
    </row>
    <row r="143" spans="1:8" ht="29.25" customHeight="1" x14ac:dyDescent="0.25">
      <c r="A143" s="210"/>
      <c r="B143" s="217" t="s">
        <v>459</v>
      </c>
      <c r="C143" s="209"/>
      <c r="D143" s="209"/>
      <c r="E143" s="209"/>
      <c r="F143" s="209"/>
      <c r="G143" s="209"/>
      <c r="H143" s="49">
        <v>0</v>
      </c>
    </row>
    <row r="144" spans="1:8" ht="25.5" customHeight="1" x14ac:dyDescent="0.25">
      <c r="A144" s="211" t="s">
        <v>467</v>
      </c>
      <c r="B144" s="257" t="s">
        <v>468</v>
      </c>
      <c r="C144" s="257"/>
      <c r="D144" s="257"/>
      <c r="E144" s="257"/>
      <c r="F144" s="257"/>
      <c r="G144" s="207"/>
      <c r="H144" s="49">
        <v>0</v>
      </c>
    </row>
    <row r="145" spans="1:8" ht="15.75" customHeight="1" x14ac:dyDescent="0.25">
      <c r="A145" s="211"/>
      <c r="B145" s="257" t="s">
        <v>469</v>
      </c>
      <c r="C145" s="257"/>
      <c r="D145" s="257"/>
      <c r="E145" s="257"/>
      <c r="F145" s="257"/>
      <c r="G145" s="207"/>
      <c r="H145" s="49">
        <v>0</v>
      </c>
    </row>
    <row r="146" spans="1:8" ht="41.25" customHeight="1" x14ac:dyDescent="0.25">
      <c r="A146" s="211"/>
      <c r="B146" s="257" t="s">
        <v>470</v>
      </c>
      <c r="C146" s="257"/>
      <c r="D146" s="257"/>
      <c r="E146" s="257"/>
      <c r="F146" s="257"/>
      <c r="G146" s="207"/>
      <c r="H146" s="49">
        <v>0</v>
      </c>
    </row>
    <row r="147" spans="1:8" ht="30.75" customHeight="1" x14ac:dyDescent="0.25">
      <c r="A147" s="211"/>
      <c r="B147" s="257" t="s">
        <v>471</v>
      </c>
      <c r="C147" s="257"/>
      <c r="D147" s="257"/>
      <c r="E147" s="257"/>
      <c r="F147" s="257"/>
      <c r="G147" s="207"/>
      <c r="H147" s="43">
        <f>IF(AND(H148="D IV",H149="IPS",H150&gt;42),4,IF(AND(H148="D IV",H149="IPS",H150&lt;=30),0,IF(AND(H148="D IV",H149="IPS",H150&lt;=34),1,IF(AND(H148="D IV",H149="IPS",H150&lt;=38),2,IF(AND(H148="D IV",H149="IPS",H150&lt;=42),3,IF(AND(H148="D III",H149="IPS",H150&gt;37),4,IF(AND(H148="D III",H149="IPS",H150&lt;=25),0,IF(AND(H148="D III",H149="IPS",H150&lt;=29),1,IF(AND(H148="D III",H149="IPS",H150&lt;=33),2,IF(AND(H148="D III",H149="IPS",H150&lt;=37),3,IF(AND(H148="D II",H149="IPS",H150&gt;32),4,IF(AND(H148="D II",H149="IPS",H150&lt;=23),0,IF(AND(H148="D II",H149="IPS",H150&lt;=26),1,IF(AND(H148="D II",H149="IPS",H150&lt;=29),2,IF(AND(H148="D II",H149="IPS",H150&lt;=32),3,IF(AND(H148="D I",H149="IPS",H150&gt;18),4,IF(AND(H148="D I",H149="IPS",H150&lt;=9),0,IF(AND(H148="D I",H149="IPS",H150&lt;=12),1,IF(AND(H148="D I",H149="IPS",H150&lt;=15),2,IF(AND(H148="D I",H149="IPS",H150&lt;=18),3,IF(AND(H148="D IV",H149="Non IPS",H150&gt;57),4,IF(AND(H148="D IV",H149="Non IPS",H150&lt;=45),0,IF(AND(H148="D IV",H149="Non IPS",H150&lt;=49),1,IF(AND(H148="D IV",H149="Non IPS",H150&lt;=53),2,IF(AND(H148="D IV",H149="Non IPS",H150&lt;=57),3,IF(AND(H148="D III",H149="Non IPS",H150&gt;52),4,IF(AND(H148="D III",H149="Non IPS",H150&lt;=40),0,IF(AND(H148="D III",H149="Non IPS",H150&lt;=44),1,IF(AND(H148="D III",H149="Non IPS",H150&lt;=48),2,IF(AND(H148="D III",H149="Non IPS",H150&lt;=52),3,IF(AND(H148="D II",H149="Non IPS",H150&gt;42),4,IF(AND(H148="D II",H149="Non IPS",H150&lt;=33),0,IF(AND(H148="D II",H149="Non IPS",H150&lt;=36),1,IF(AND(H148="D II",H149="Non IPS",H150&lt;=39),2,IF(AND(H148="D II",H149="Non IPS",H150&lt;=42),3,IF(AND(H148="D I",H149="Non IPS",H150&gt;23),4,IF(AND(H148="D I",H149="Non IPS",H150&lt;=14),0,IF(AND(H148="D I",H149="Non IPS",H150&lt;=17),1,IF(AND(H148="D I",H149="Non IPS",H150&lt;=20),2,IF(AND(H148="D I",H149="Non IPS",H150&lt;=23),3))))))))))))))))))))))))))))))))))))))))</f>
        <v>0</v>
      </c>
    </row>
    <row r="148" spans="1:8" ht="15" customHeight="1" x14ac:dyDescent="0.25">
      <c r="A148" s="211"/>
      <c r="B148" s="342"/>
      <c r="C148" s="342"/>
      <c r="D148" s="206" t="s">
        <v>472</v>
      </c>
      <c r="E148" s="206"/>
      <c r="F148" s="206"/>
      <c r="G148" s="206"/>
      <c r="H148" s="58" t="s">
        <v>717</v>
      </c>
    </row>
    <row r="149" spans="1:8" x14ac:dyDescent="0.25">
      <c r="A149" s="211"/>
      <c r="B149" s="342"/>
      <c r="C149" s="342"/>
      <c r="D149" s="206" t="s">
        <v>460</v>
      </c>
      <c r="E149" s="206"/>
      <c r="F149" s="206"/>
      <c r="G149" s="206"/>
      <c r="H149" s="58" t="s">
        <v>474</v>
      </c>
    </row>
    <row r="150" spans="1:8" x14ac:dyDescent="0.25">
      <c r="A150" s="211"/>
      <c r="B150" s="342"/>
      <c r="C150" s="342"/>
      <c r="D150" s="206" t="s">
        <v>473</v>
      </c>
      <c r="E150" s="206"/>
      <c r="F150" s="206"/>
      <c r="G150" s="206"/>
      <c r="H150" s="58">
        <v>0</v>
      </c>
    </row>
    <row r="151" spans="1:8" ht="30" customHeight="1" x14ac:dyDescent="0.25">
      <c r="A151" s="211"/>
      <c r="B151" s="257" t="s">
        <v>475</v>
      </c>
      <c r="C151" s="257"/>
      <c r="D151" s="257"/>
      <c r="E151" s="257"/>
      <c r="F151" s="257"/>
      <c r="G151" s="207"/>
      <c r="H151" s="43" t="e">
        <f>IF(H152&gt;H153,"Salah Isi",IF(H154&gt;=60%,4,(20*H154)/3))</f>
        <v>#DIV/0!</v>
      </c>
    </row>
    <row r="152" spans="1:8" ht="15" customHeight="1" x14ac:dyDescent="0.25">
      <c r="A152" s="211"/>
      <c r="B152" s="342"/>
      <c r="C152" s="342"/>
      <c r="D152" s="329" t="s">
        <v>718</v>
      </c>
      <c r="E152" s="329"/>
      <c r="F152" s="329"/>
      <c r="G152" s="329"/>
      <c r="H152" s="58">
        <v>0</v>
      </c>
    </row>
    <row r="153" spans="1:8" x14ac:dyDescent="0.25">
      <c r="A153" s="211"/>
      <c r="B153" s="171"/>
      <c r="C153" s="171"/>
      <c r="D153" s="329" t="s">
        <v>719</v>
      </c>
      <c r="E153" s="329"/>
      <c r="F153" s="329"/>
      <c r="G153" s="329"/>
      <c r="H153" s="172">
        <v>0</v>
      </c>
    </row>
    <row r="154" spans="1:8" x14ac:dyDescent="0.25">
      <c r="A154" s="211"/>
      <c r="B154" s="171"/>
      <c r="C154" s="171"/>
      <c r="D154" s="329" t="s">
        <v>720</v>
      </c>
      <c r="E154" s="329"/>
      <c r="F154" s="329"/>
      <c r="G154" s="329"/>
      <c r="H154" s="177" t="e">
        <f>H152/H153</f>
        <v>#DIV/0!</v>
      </c>
    </row>
    <row r="155" spans="1:8" ht="31.5" customHeight="1" x14ac:dyDescent="0.25">
      <c r="A155" s="211"/>
      <c r="B155" s="257" t="s">
        <v>476</v>
      </c>
      <c r="C155" s="257"/>
      <c r="D155" s="257"/>
      <c r="E155" s="257"/>
      <c r="F155" s="257"/>
      <c r="G155" s="207"/>
      <c r="H155" s="306" t="e">
        <f>IF(H158&lt;=55%,0,IF(H158&lt;95%,10*(H158-55%),4))</f>
        <v>#DIV/0!</v>
      </c>
    </row>
    <row r="156" spans="1:8" ht="15" customHeight="1" x14ac:dyDescent="0.25">
      <c r="A156" s="211"/>
      <c r="B156" s="212"/>
      <c r="C156" s="218"/>
      <c r="D156" s="329" t="s">
        <v>721</v>
      </c>
      <c r="E156" s="329"/>
      <c r="F156" s="329"/>
      <c r="G156" s="329"/>
      <c r="H156" s="175">
        <v>0</v>
      </c>
    </row>
    <row r="157" spans="1:8" x14ac:dyDescent="0.25">
      <c r="A157" s="211"/>
      <c r="B157" s="212"/>
      <c r="C157" s="218"/>
      <c r="D157" s="329" t="s">
        <v>722</v>
      </c>
      <c r="E157" s="329"/>
      <c r="F157" s="329"/>
      <c r="G157" s="329"/>
      <c r="H157" s="175">
        <v>0</v>
      </c>
    </row>
    <row r="158" spans="1:8" x14ac:dyDescent="0.25">
      <c r="A158" s="211"/>
      <c r="B158" s="214"/>
      <c r="C158" s="215"/>
      <c r="D158" s="329" t="s">
        <v>723</v>
      </c>
      <c r="E158" s="329"/>
      <c r="F158" s="329"/>
      <c r="G158" s="329"/>
      <c r="H158" s="315" t="e">
        <f>H156/H157</f>
        <v>#DIV/0!</v>
      </c>
    </row>
    <row r="159" spans="1:8" x14ac:dyDescent="0.25">
      <c r="A159" s="211"/>
      <c r="B159" s="217" t="s">
        <v>477</v>
      </c>
      <c r="C159" s="209"/>
      <c r="D159" s="209"/>
      <c r="E159" s="209"/>
      <c r="F159" s="209"/>
      <c r="G159" s="209"/>
      <c r="H159" s="49">
        <v>0</v>
      </c>
    </row>
    <row r="160" spans="1:8" x14ac:dyDescent="0.25">
      <c r="A160" s="211" t="s">
        <v>478</v>
      </c>
      <c r="B160" s="207" t="s">
        <v>479</v>
      </c>
      <c r="C160" s="208"/>
      <c r="D160" s="208"/>
      <c r="E160" s="208"/>
      <c r="F160" s="209"/>
      <c r="G160" s="209"/>
      <c r="H160" s="43">
        <f>IF(H164&gt;3.5,4,IF(H164=0,0,IF(H164&lt;=1.5,1,IF(H164&lt;=2.5,2,3))))</f>
        <v>0</v>
      </c>
    </row>
    <row r="161" spans="1:8" ht="15" customHeight="1" x14ac:dyDescent="0.25">
      <c r="A161" s="233"/>
      <c r="B161" s="345"/>
      <c r="C161" s="342"/>
      <c r="D161" s="206" t="s">
        <v>480</v>
      </c>
      <c r="E161" s="206"/>
      <c r="F161" s="206"/>
      <c r="G161" s="206"/>
      <c r="H161" s="58">
        <v>0</v>
      </c>
    </row>
    <row r="162" spans="1:8" ht="15" customHeight="1" x14ac:dyDescent="0.25">
      <c r="A162" s="233"/>
      <c r="B162" s="345"/>
      <c r="C162" s="342"/>
      <c r="D162" s="206" t="s">
        <v>481</v>
      </c>
      <c r="E162" s="206"/>
      <c r="F162" s="206"/>
      <c r="G162" s="206"/>
      <c r="H162" s="52">
        <v>0</v>
      </c>
    </row>
    <row r="163" spans="1:8" ht="15" customHeight="1" x14ac:dyDescent="0.25">
      <c r="A163" s="233"/>
      <c r="B163" s="345"/>
      <c r="C163" s="342"/>
      <c r="D163" s="206" t="s">
        <v>482</v>
      </c>
      <c r="E163" s="206"/>
      <c r="F163" s="206"/>
      <c r="G163" s="206"/>
      <c r="H163" s="52">
        <v>0</v>
      </c>
    </row>
    <row r="164" spans="1:8" ht="15" customHeight="1" x14ac:dyDescent="0.25">
      <c r="A164" s="233"/>
      <c r="B164" s="346"/>
      <c r="C164" s="343"/>
      <c r="D164" s="206" t="s">
        <v>483</v>
      </c>
      <c r="E164" s="206"/>
      <c r="F164" s="206"/>
      <c r="G164" s="206"/>
      <c r="H164" s="43">
        <f>AVERAGE(H161:H163)</f>
        <v>0</v>
      </c>
    </row>
    <row r="165" spans="1:8" ht="30" customHeight="1" x14ac:dyDescent="0.25">
      <c r="A165" s="211"/>
      <c r="B165" s="207" t="s">
        <v>484</v>
      </c>
      <c r="C165" s="208"/>
      <c r="D165" s="208"/>
      <c r="E165" s="208"/>
      <c r="F165" s="209"/>
      <c r="G165" s="209"/>
      <c r="H165" s="43">
        <f>IF(AND(H166="D IV",H167="IPS",H168&gt;1880),4,IF(AND(H166="D IV",H167="IPS",H168&lt;=1544),0,IF(AND(H166="D IV",H167="IPS",H168&lt;=1656),1,IF(AND(H166="D IV",H167="IPS",H168&lt;=1768),2,IF(AND(H166="D IV",H167="IPS",H168&lt;=1880),3,IF(AND(H166="D III",H167="IPS",H168&gt;1642),4,IF(AND(H166="D III",H167="IPS",H168&lt;=1306),0,IF(AND(H166="D III",H167="IPS",H168&lt;=1418),1,IF(AND(H166="D III",H167="IPS",H168&lt;=1530),2,IF(AND(H166="D III",H167="IPS",H168&lt;=1642),3,IF(AND(H166="D II",H167="IPS",H168&gt;1376),4,IF(AND(H166="D II",H167="IPS",H168&lt;=1124),0,IF(AND(H166="D II",H167="IPS",H168&lt;=1208),1,IF(AND(H166="D II",H167="IPS",H168&lt;=1292),2,IF(AND(H166="D II",H167="IPS",H168&lt;=1376),3,IF(AND(H166="D I",H167="IPS",H168&gt;832),4,IF(AND(H166="D I",H167="IPS",H168&lt;=580),0,IF(AND(H166="D I",H167="IPS",H168&lt;=664),1,IF(AND(H166="D I",H167="IPS",H168&lt;=748),2,IF(AND(H166="D I",H167="IPS",H168&lt;=832),3,IF(AND(H166="D IV",H167="Non IPS",H168&gt;2390),4,IF(AND(H166="D IV",H167="Non IPS",H168&lt;=2054),0,IF(AND(H166="D IV",H167="Non IPS",H168&lt;=2166),1,IF(AND(H166="D IV",H167="Non IPS",H168&lt;=2278),2,IF(AND(H166="D IV",H167="Non IPS",H168&lt;=2390),3,IF(AND(H166="D III",H167="Non IPS",H168&gt;2084),4,IF(AND(H166="D III",H167="Non IPS",H168&lt;=1748),0,IF(AND(H166="D III",H167="Non IPS",H168&lt;=1860),1,IF(AND(H166="D III",H167="Non IPS",H168&lt;=1972),2,IF(AND(H166="D III",H167="Non IPS",H168&lt;=2084),3,IF(AND(H166="D II",H167="Non IPS",H168&gt;1716),4,IF(AND(H166="D II",H167="Non IPS",H168&lt;=1464),0,IF(AND(H166="D II",H167="Non IPS",H168&lt;=1548),1,IF(AND(H166="D II",H167="Non IPS",H168&lt;=1632),2,IF(AND(H166="D II",H167="Non IPS",H168&lt;=1716),3,IF(AND(H166="D I",H167="Non IPS",H168&gt;934),4,IF(AND(H166="D I",H167="Non IPS",H168&lt;=682),0,IF(AND(H166="D I",H167="Non IPS",H168&lt;=766),1,IF(AND(H166="D I",H167="Non IPS",H168&lt;=850),2,IF(AND(H166="D I",H167="Non IPS",H168&lt;=934),3))))))))))))))))))))))))))))))))))))))))</f>
        <v>0</v>
      </c>
    </row>
    <row r="166" spans="1:8" ht="15" customHeight="1" x14ac:dyDescent="0.25">
      <c r="A166" s="233"/>
      <c r="B166" s="351"/>
      <c r="C166" s="293"/>
      <c r="D166" s="206" t="s">
        <v>472</v>
      </c>
      <c r="E166" s="206"/>
      <c r="F166" s="206"/>
      <c r="G166" s="206"/>
      <c r="H166" s="60" t="str">
        <f>H148</f>
        <v>D III</v>
      </c>
    </row>
    <row r="167" spans="1:8" x14ac:dyDescent="0.25">
      <c r="A167" s="233"/>
      <c r="B167" s="351"/>
      <c r="C167" s="293"/>
      <c r="D167" s="206" t="s">
        <v>460</v>
      </c>
      <c r="E167" s="206"/>
      <c r="F167" s="206"/>
      <c r="G167" s="206"/>
      <c r="H167" s="60" t="str">
        <f>H149</f>
        <v>Non IPS</v>
      </c>
    </row>
    <row r="168" spans="1:8" ht="15" customHeight="1" x14ac:dyDescent="0.25">
      <c r="A168" s="233"/>
      <c r="B168" s="352"/>
      <c r="C168" s="294"/>
      <c r="D168" s="206" t="s">
        <v>485</v>
      </c>
      <c r="E168" s="206"/>
      <c r="F168" s="206"/>
      <c r="G168" s="206"/>
      <c r="H168" s="58">
        <v>0</v>
      </c>
    </row>
    <row r="169" spans="1:8" x14ac:dyDescent="0.25">
      <c r="A169" s="211"/>
      <c r="B169" s="208" t="s">
        <v>486</v>
      </c>
      <c r="C169" s="208"/>
      <c r="D169" s="208"/>
      <c r="E169" s="208"/>
      <c r="F169" s="208"/>
      <c r="G169" s="208"/>
      <c r="H169" s="43">
        <f>IF(H170&gt;90,4,IF(H170&lt;=30,0,IF(H170&lt;=50,1,IF(H170&lt;=70,2,3))))</f>
        <v>0</v>
      </c>
    </row>
    <row r="170" spans="1:8" ht="50.25" customHeight="1" x14ac:dyDescent="0.25">
      <c r="A170" s="211"/>
      <c r="B170" s="346"/>
      <c r="C170" s="343"/>
      <c r="D170" s="227" t="s">
        <v>487</v>
      </c>
      <c r="E170" s="308"/>
      <c r="F170" s="308"/>
      <c r="G170" s="228"/>
      <c r="H170" s="58">
        <v>0</v>
      </c>
    </row>
    <row r="171" spans="1:8" ht="29.25" customHeight="1" x14ac:dyDescent="0.25">
      <c r="A171" s="211"/>
      <c r="B171" s="217" t="s">
        <v>488</v>
      </c>
      <c r="C171" s="209"/>
      <c r="D171" s="209"/>
      <c r="E171" s="209"/>
      <c r="F171" s="209"/>
      <c r="G171" s="209"/>
      <c r="H171" s="49">
        <v>0</v>
      </c>
    </row>
    <row r="172" spans="1:8" ht="28.5" customHeight="1" x14ac:dyDescent="0.25">
      <c r="A172" s="211"/>
      <c r="B172" s="217" t="s">
        <v>489</v>
      </c>
      <c r="C172" s="209"/>
      <c r="D172" s="209"/>
      <c r="E172" s="209"/>
      <c r="F172" s="209"/>
      <c r="G172" s="209"/>
      <c r="H172" s="49">
        <v>0</v>
      </c>
    </row>
    <row r="173" spans="1:8" ht="30" customHeight="1" x14ac:dyDescent="0.25">
      <c r="A173" s="211" t="s">
        <v>491</v>
      </c>
      <c r="B173" s="207" t="s">
        <v>490</v>
      </c>
      <c r="C173" s="208"/>
      <c r="D173" s="208"/>
      <c r="E173" s="208"/>
      <c r="F173" s="209"/>
      <c r="G173" s="209"/>
      <c r="H173" s="43">
        <f>IF(H174&gt;50,0,IF(H174&lt;=20,4,IF(H174&lt;=30,3,IF(H174&lt;=40,2,1))))</f>
        <v>3</v>
      </c>
    </row>
    <row r="174" spans="1:8" ht="30" customHeight="1" x14ac:dyDescent="0.25">
      <c r="A174" s="211"/>
      <c r="B174" s="352"/>
      <c r="C174" s="294"/>
      <c r="D174" s="231" t="s">
        <v>492</v>
      </c>
      <c r="E174" s="314"/>
      <c r="F174" s="314"/>
      <c r="G174" s="232"/>
      <c r="H174" s="58">
        <v>30</v>
      </c>
    </row>
    <row r="175" spans="1:8" ht="28.5" customHeight="1" x14ac:dyDescent="0.25">
      <c r="A175" s="211"/>
      <c r="B175" s="217" t="s">
        <v>493</v>
      </c>
      <c r="C175" s="209"/>
      <c r="D175" s="209"/>
      <c r="E175" s="209"/>
      <c r="F175" s="209"/>
      <c r="G175" s="209"/>
      <c r="H175" s="43">
        <f>IF(H176&gt;3,4,IF(H176=0,0,IF(H176&lt;=1,1,IF(H176&lt;=2,2,3))))</f>
        <v>0</v>
      </c>
    </row>
    <row r="176" spans="1:8" ht="41.25" customHeight="1" x14ac:dyDescent="0.25">
      <c r="A176" s="211"/>
      <c r="B176" s="353"/>
      <c r="C176" s="354"/>
      <c r="D176" s="231" t="s">
        <v>494</v>
      </c>
      <c r="E176" s="314"/>
      <c r="F176" s="314"/>
      <c r="G176" s="232"/>
      <c r="H176" s="58">
        <v>0</v>
      </c>
    </row>
    <row r="177" spans="1:8" ht="30" customHeight="1" x14ac:dyDescent="0.25">
      <c r="A177" s="211"/>
      <c r="B177" s="217" t="s">
        <v>495</v>
      </c>
      <c r="C177" s="209"/>
      <c r="D177" s="209"/>
      <c r="E177" s="209"/>
      <c r="F177" s="209"/>
      <c r="G177" s="209"/>
      <c r="H177" s="49">
        <v>0</v>
      </c>
    </row>
    <row r="178" spans="1:8" ht="30" customHeight="1" x14ac:dyDescent="0.25">
      <c r="A178" s="211"/>
      <c r="B178" s="217" t="s">
        <v>496</v>
      </c>
      <c r="C178" s="209"/>
      <c r="D178" s="209"/>
      <c r="E178" s="209"/>
      <c r="F178" s="209"/>
      <c r="G178" s="209"/>
      <c r="H178" s="49">
        <v>0</v>
      </c>
    </row>
    <row r="179" spans="1:8" ht="30" customHeight="1" x14ac:dyDescent="0.25">
      <c r="A179" s="234" t="s">
        <v>498</v>
      </c>
      <c r="B179" s="217" t="s">
        <v>497</v>
      </c>
      <c r="C179" s="209"/>
      <c r="D179" s="209"/>
      <c r="E179" s="209"/>
      <c r="F179" s="209"/>
      <c r="G179" s="209"/>
      <c r="H179" s="49">
        <v>0</v>
      </c>
    </row>
    <row r="180" spans="1:8" ht="30" customHeight="1" x14ac:dyDescent="0.25">
      <c r="A180" s="234"/>
      <c r="B180" s="217" t="s">
        <v>499</v>
      </c>
      <c r="C180" s="209"/>
      <c r="D180" s="209"/>
      <c r="E180" s="209"/>
      <c r="F180" s="209"/>
      <c r="G180" s="209"/>
      <c r="H180" s="49">
        <v>0</v>
      </c>
    </row>
    <row r="181" spans="1:8" ht="27.75" customHeight="1" x14ac:dyDescent="0.25">
      <c r="A181" s="234"/>
      <c r="B181" s="207" t="s">
        <v>500</v>
      </c>
      <c r="C181" s="208"/>
      <c r="D181" s="208"/>
      <c r="E181" s="208"/>
      <c r="F181" s="209"/>
      <c r="G181" s="209"/>
      <c r="H181" s="43">
        <f>IF(H182&gt;=17,0,IF(H182&lt;=4,4,IF(H182&lt;=8,3,IF(H182&lt;=12,2,3))))</f>
        <v>4</v>
      </c>
    </row>
    <row r="182" spans="1:8" ht="28.5" customHeight="1" x14ac:dyDescent="0.25">
      <c r="A182" s="234"/>
      <c r="B182" s="352"/>
      <c r="C182" s="294"/>
      <c r="D182" s="231" t="s">
        <v>501</v>
      </c>
      <c r="E182" s="314"/>
      <c r="F182" s="314"/>
      <c r="G182" s="232"/>
      <c r="H182" s="58">
        <v>0</v>
      </c>
    </row>
    <row r="183" spans="1:8" ht="28.5" customHeight="1" x14ac:dyDescent="0.25">
      <c r="A183" s="234"/>
      <c r="B183" s="207" t="s">
        <v>502</v>
      </c>
      <c r="C183" s="208"/>
      <c r="D183" s="208"/>
      <c r="E183" s="208"/>
      <c r="F183" s="209"/>
      <c r="G183" s="209"/>
      <c r="H183" s="43">
        <f>IF(H184&gt;=8,4,IF(H184=0,0,IF(H184&lt;=2,1,IF(H184&lt;=4,2,3))))</f>
        <v>0</v>
      </c>
    </row>
    <row r="184" spans="1:8" ht="51.75" customHeight="1" x14ac:dyDescent="0.25">
      <c r="A184" s="234"/>
      <c r="B184" s="352"/>
      <c r="C184" s="294"/>
      <c r="D184" s="231" t="s">
        <v>503</v>
      </c>
      <c r="E184" s="314"/>
      <c r="F184" s="314"/>
      <c r="G184" s="232"/>
      <c r="H184" s="58">
        <v>0</v>
      </c>
    </row>
    <row r="185" spans="1:8" x14ac:dyDescent="0.25">
      <c r="A185" s="234"/>
      <c r="B185" s="207" t="s">
        <v>504</v>
      </c>
      <c r="C185" s="208"/>
      <c r="D185" s="208"/>
      <c r="E185" s="208"/>
      <c r="F185" s="209"/>
      <c r="G185" s="209"/>
      <c r="H185" s="43" t="e">
        <f>IF(H188&gt;=90,4,IF(H188=0,0,IF(H188&lt;50,1,IF(H188&lt;=70,2,3))))</f>
        <v>#DIV/0!</v>
      </c>
    </row>
    <row r="186" spans="1:8" ht="20.25" customHeight="1" x14ac:dyDescent="0.25">
      <c r="A186" s="234"/>
      <c r="B186" s="345"/>
      <c r="C186" s="342"/>
      <c r="D186" s="206" t="s">
        <v>507</v>
      </c>
      <c r="E186" s="206"/>
      <c r="F186" s="206"/>
      <c r="G186" s="206"/>
      <c r="H186" s="58">
        <v>0</v>
      </c>
    </row>
    <row r="187" spans="1:8" ht="30.75" customHeight="1" x14ac:dyDescent="0.25">
      <c r="A187" s="234"/>
      <c r="B187" s="345"/>
      <c r="C187" s="342"/>
      <c r="D187" s="206" t="s">
        <v>505</v>
      </c>
      <c r="E187" s="206"/>
      <c r="F187" s="206"/>
      <c r="G187" s="206"/>
      <c r="H187" s="58">
        <v>0</v>
      </c>
    </row>
    <row r="188" spans="1:8" ht="31.5" customHeight="1" x14ac:dyDescent="0.25">
      <c r="A188" s="234"/>
      <c r="B188" s="346"/>
      <c r="C188" s="343"/>
      <c r="D188" s="206" t="s">
        <v>506</v>
      </c>
      <c r="E188" s="206"/>
      <c r="F188" s="206"/>
      <c r="G188" s="206"/>
      <c r="H188" s="43" t="e">
        <f>H187/H186*100</f>
        <v>#DIV/0!</v>
      </c>
    </row>
    <row r="189" spans="1:8" ht="38.25" x14ac:dyDescent="0.25">
      <c r="A189" s="47" t="s">
        <v>508</v>
      </c>
      <c r="B189" s="217" t="s">
        <v>509</v>
      </c>
      <c r="C189" s="209"/>
      <c r="D189" s="209"/>
      <c r="E189" s="209"/>
      <c r="F189" s="209"/>
      <c r="G189" s="209"/>
      <c r="H189" s="49">
        <v>0</v>
      </c>
    </row>
    <row r="190" spans="1:8" ht="30.75" customHeight="1" x14ac:dyDescent="0.25">
      <c r="A190" s="211" t="s">
        <v>510</v>
      </c>
      <c r="B190" s="217" t="s">
        <v>511</v>
      </c>
      <c r="C190" s="209"/>
      <c r="D190" s="209"/>
      <c r="E190" s="209"/>
      <c r="F190" s="209"/>
      <c r="G190" s="209"/>
      <c r="H190" s="49">
        <v>0</v>
      </c>
    </row>
    <row r="191" spans="1:8" ht="39.75" customHeight="1" x14ac:dyDescent="0.25">
      <c r="A191" s="211"/>
      <c r="B191" s="217" t="s">
        <v>512</v>
      </c>
      <c r="C191" s="209"/>
      <c r="D191" s="209"/>
      <c r="E191" s="209"/>
      <c r="F191" s="209"/>
      <c r="G191" s="209"/>
      <c r="H191" s="49">
        <v>0</v>
      </c>
    </row>
    <row r="192" spans="1:8" ht="40.5" customHeight="1" x14ac:dyDescent="0.25">
      <c r="A192" s="211"/>
      <c r="B192" s="217" t="s">
        <v>513</v>
      </c>
      <c r="C192" s="209"/>
      <c r="D192" s="209"/>
      <c r="E192" s="209"/>
      <c r="F192" s="209"/>
      <c r="G192" s="209"/>
      <c r="H192" s="49">
        <v>0</v>
      </c>
    </row>
    <row r="193" spans="1:10" ht="15" customHeight="1" x14ac:dyDescent="0.25">
      <c r="A193" s="211"/>
      <c r="B193" s="217" t="s">
        <v>514</v>
      </c>
      <c r="C193" s="209"/>
      <c r="D193" s="209"/>
      <c r="E193" s="209"/>
      <c r="F193" s="209"/>
      <c r="G193" s="209"/>
      <c r="H193" s="49">
        <v>0</v>
      </c>
    </row>
    <row r="194" spans="1:10" x14ac:dyDescent="0.25">
      <c r="A194" s="45" t="s">
        <v>515</v>
      </c>
      <c r="B194" s="217" t="s">
        <v>516</v>
      </c>
      <c r="C194" s="209"/>
      <c r="D194" s="209"/>
      <c r="E194" s="209"/>
      <c r="F194" s="209"/>
      <c r="G194" s="209"/>
      <c r="H194" s="49">
        <v>0</v>
      </c>
    </row>
    <row r="195" spans="1:10" ht="25.5" x14ac:dyDescent="0.25">
      <c r="A195" s="63" t="s">
        <v>517</v>
      </c>
      <c r="B195" s="217" t="s">
        <v>518</v>
      </c>
      <c r="C195" s="209"/>
      <c r="D195" s="209"/>
      <c r="E195" s="209"/>
      <c r="F195" s="209"/>
      <c r="G195" s="209"/>
      <c r="H195" s="49">
        <v>0</v>
      </c>
    </row>
    <row r="196" spans="1:10" ht="39.75" customHeight="1" x14ac:dyDescent="0.25">
      <c r="A196" s="56" t="s">
        <v>519</v>
      </c>
      <c r="B196" s="217" t="s">
        <v>520</v>
      </c>
      <c r="C196" s="209"/>
      <c r="D196" s="209"/>
      <c r="E196" s="209"/>
      <c r="F196" s="209"/>
      <c r="G196" s="209"/>
      <c r="H196" s="49">
        <v>0</v>
      </c>
    </row>
    <row r="197" spans="1:10" ht="28.5" customHeight="1" x14ac:dyDescent="0.25">
      <c r="A197" s="364" t="s">
        <v>521</v>
      </c>
      <c r="B197" s="207" t="s">
        <v>522</v>
      </c>
      <c r="C197" s="208"/>
      <c r="D197" s="208"/>
      <c r="E197" s="208"/>
      <c r="F197" s="209"/>
      <c r="G197" s="209"/>
      <c r="H197" s="43">
        <f>IF(H200&gt;95,0,IF(H200&lt;=30,4,IF(H200&lt;=53,3,IF(H200&lt;=80,2,1))))</f>
        <v>4</v>
      </c>
    </row>
    <row r="198" spans="1:10" ht="24.75" customHeight="1" x14ac:dyDescent="0.25">
      <c r="A198" s="365"/>
      <c r="B198" s="212"/>
      <c r="C198" s="213"/>
      <c r="D198" s="206" t="s">
        <v>523</v>
      </c>
      <c r="E198" s="206"/>
      <c r="F198" s="206"/>
      <c r="G198" s="206"/>
      <c r="H198" s="175">
        <v>1791</v>
      </c>
    </row>
    <row r="199" spans="1:10" ht="24.75" customHeight="1" x14ac:dyDescent="0.25">
      <c r="A199" s="365"/>
      <c r="B199" s="212"/>
      <c r="C199" s="213"/>
      <c r="D199" s="206" t="s">
        <v>524</v>
      </c>
      <c r="E199" s="206"/>
      <c r="F199" s="206"/>
      <c r="G199" s="206"/>
      <c r="H199" s="175">
        <v>12914</v>
      </c>
    </row>
    <row r="200" spans="1:10" ht="24.75" customHeight="1" x14ac:dyDescent="0.25">
      <c r="A200" s="365"/>
      <c r="B200" s="214"/>
      <c r="C200" s="216"/>
      <c r="D200" s="246" t="s">
        <v>729</v>
      </c>
      <c r="E200" s="246"/>
      <c r="F200" s="246"/>
      <c r="G200" s="246"/>
      <c r="H200" s="43">
        <f>H198/H199*100</f>
        <v>13.868669660833206</v>
      </c>
    </row>
    <row r="201" spans="1:10" x14ac:dyDescent="0.25">
      <c r="A201" s="365"/>
      <c r="B201" s="207" t="s">
        <v>525</v>
      </c>
      <c r="C201" s="208"/>
      <c r="D201" s="208"/>
      <c r="E201" s="208"/>
      <c r="F201" s="209"/>
      <c r="G201" s="209"/>
      <c r="H201" s="43">
        <f>H211</f>
        <v>4</v>
      </c>
    </row>
    <row r="202" spans="1:10" x14ac:dyDescent="0.25">
      <c r="A202" s="365"/>
      <c r="B202" s="212"/>
      <c r="C202" s="218"/>
      <c r="D202" s="206" t="s">
        <v>460</v>
      </c>
      <c r="E202" s="206"/>
      <c r="F202" s="206"/>
      <c r="G202" s="206"/>
      <c r="H202" s="58" t="s">
        <v>461</v>
      </c>
      <c r="J202" s="361"/>
    </row>
    <row r="203" spans="1:10" ht="21" customHeight="1" x14ac:dyDescent="0.25">
      <c r="A203" s="365"/>
      <c r="B203" s="212"/>
      <c r="C203" s="218"/>
      <c r="D203" s="357" t="s">
        <v>732</v>
      </c>
      <c r="E203" s="357"/>
      <c r="F203" s="357"/>
      <c r="G203" s="357"/>
      <c r="H203" s="58">
        <v>2403</v>
      </c>
      <c r="J203" s="362"/>
    </row>
    <row r="204" spans="1:10" ht="21" customHeight="1" x14ac:dyDescent="0.25">
      <c r="A204" s="365"/>
      <c r="B204" s="212"/>
      <c r="C204" s="218"/>
      <c r="D204" s="358" t="s">
        <v>733</v>
      </c>
      <c r="E204" s="358"/>
      <c r="F204" s="358"/>
      <c r="G204" s="358"/>
      <c r="H204" s="175">
        <v>34</v>
      </c>
      <c r="J204" s="362"/>
    </row>
    <row r="205" spans="1:10" ht="21" customHeight="1" x14ac:dyDescent="0.25">
      <c r="A205" s="365"/>
      <c r="B205" s="212"/>
      <c r="C205" s="218"/>
      <c r="D205" s="357" t="s">
        <v>734</v>
      </c>
      <c r="E205" s="357"/>
      <c r="F205" s="357"/>
      <c r="G205" s="357"/>
      <c r="H205" s="175">
        <v>73</v>
      </c>
      <c r="J205" s="362"/>
    </row>
    <row r="206" spans="1:10" ht="21" customHeight="1" x14ac:dyDescent="0.25">
      <c r="A206" s="365"/>
      <c r="B206" s="212"/>
      <c r="C206" s="218"/>
      <c r="D206" s="357" t="s">
        <v>735</v>
      </c>
      <c r="E206" s="357"/>
      <c r="F206" s="357"/>
      <c r="G206" s="357"/>
      <c r="H206" s="60">
        <f>SUM(H203:H205)</f>
        <v>2510</v>
      </c>
    </row>
    <row r="207" spans="1:10" ht="21" customHeight="1" x14ac:dyDescent="0.25">
      <c r="A207" s="365"/>
      <c r="B207" s="212"/>
      <c r="C207" s="218"/>
      <c r="D207" s="357" t="s">
        <v>736</v>
      </c>
      <c r="E207" s="357"/>
      <c r="F207" s="357"/>
      <c r="G207" s="357"/>
      <c r="H207" s="175">
        <v>90</v>
      </c>
    </row>
    <row r="208" spans="1:10" ht="21" customHeight="1" x14ac:dyDescent="0.25">
      <c r="A208" s="365"/>
      <c r="B208" s="212"/>
      <c r="C208" s="218"/>
      <c r="D208" s="360" t="s">
        <v>737</v>
      </c>
      <c r="E208" s="355"/>
      <c r="F208" s="355"/>
      <c r="G208" s="356"/>
      <c r="H208" s="60">
        <f>H206/H207</f>
        <v>27.888888888888889</v>
      </c>
    </row>
    <row r="209" spans="1:10" ht="21" customHeight="1" x14ac:dyDescent="0.25">
      <c r="A209" s="365"/>
      <c r="B209" s="212"/>
      <c r="C209" s="218"/>
      <c r="D209" s="357" t="s">
        <v>738</v>
      </c>
      <c r="E209" s="357"/>
      <c r="F209" s="357"/>
      <c r="G209" s="357"/>
      <c r="H209" s="60">
        <f>IF(H202="IPS",IF(H208&lt;=3,(2*H208)/3,IF(H208&lt;15,1.5+H208/6,4)),0)</f>
        <v>0</v>
      </c>
    </row>
    <row r="210" spans="1:10" ht="21" customHeight="1" x14ac:dyDescent="0.25">
      <c r="A210" s="365"/>
      <c r="B210" s="212"/>
      <c r="C210" s="218"/>
      <c r="D210" s="357" t="s">
        <v>739</v>
      </c>
      <c r="E210" s="357"/>
      <c r="F210" s="357"/>
      <c r="G210" s="357"/>
      <c r="H210" s="60">
        <f>IF(H202="Non-IPS",IF(H208&lt;20,H208/5,4),0)</f>
        <v>4</v>
      </c>
    </row>
    <row r="211" spans="1:10" ht="21" customHeight="1" x14ac:dyDescent="0.25">
      <c r="A211" s="365"/>
      <c r="B211" s="214"/>
      <c r="C211" s="215"/>
      <c r="D211" s="357" t="s">
        <v>48</v>
      </c>
      <c r="E211" s="357"/>
      <c r="F211" s="357"/>
      <c r="G211" s="357"/>
      <c r="H211" s="60">
        <f>IF(H202="IPS",H209,IF(H202="Non-IPS",H210,"Salah Isi"))</f>
        <v>4</v>
      </c>
    </row>
    <row r="212" spans="1:10" ht="21" customHeight="1" x14ac:dyDescent="0.25">
      <c r="A212" s="365"/>
      <c r="B212" s="207" t="s">
        <v>526</v>
      </c>
      <c r="C212" s="208"/>
      <c r="D212" s="208"/>
      <c r="E212" s="208"/>
      <c r="F212" s="209"/>
      <c r="G212" s="209"/>
      <c r="H212" s="43">
        <f>IF(H214&gt;=2,4,2*H214)</f>
        <v>4</v>
      </c>
    </row>
    <row r="213" spans="1:10" ht="31.5" customHeight="1" x14ac:dyDescent="0.25">
      <c r="A213" s="365"/>
      <c r="B213" s="212"/>
      <c r="C213" s="213"/>
      <c r="D213" s="206" t="s">
        <v>527</v>
      </c>
      <c r="E213" s="206"/>
      <c r="F213" s="206"/>
      <c r="G213" s="206"/>
      <c r="H213" s="175">
        <v>7313</v>
      </c>
    </row>
    <row r="214" spans="1:10" ht="27.75" customHeight="1" x14ac:dyDescent="0.25">
      <c r="A214" s="365"/>
      <c r="B214" s="214"/>
      <c r="C214" s="216"/>
      <c r="D214" s="363" t="s">
        <v>740</v>
      </c>
      <c r="E214" s="363"/>
      <c r="F214" s="363"/>
      <c r="G214" s="363"/>
      <c r="H214" s="43">
        <f>H213/(3*H84)</f>
        <v>348.23809523809524</v>
      </c>
    </row>
    <row r="215" spans="1:10" ht="31.5" customHeight="1" x14ac:dyDescent="0.25">
      <c r="A215" s="365"/>
      <c r="B215" s="207" t="s">
        <v>528</v>
      </c>
      <c r="C215" s="208"/>
      <c r="D215" s="208"/>
      <c r="E215" s="208"/>
      <c r="F215" s="209"/>
      <c r="G215" s="209"/>
      <c r="H215" s="43">
        <f>IF(H217&gt;4,4,IF(H217=0,0,IF(H217&lt;1,1,IF(H217&lt;=2.5,2,3))))</f>
        <v>0</v>
      </c>
    </row>
    <row r="216" spans="1:10" ht="36" customHeight="1" x14ac:dyDescent="0.25">
      <c r="A216" s="365"/>
      <c r="B216" s="212"/>
      <c r="C216" s="218"/>
      <c r="D216" s="206" t="s">
        <v>529</v>
      </c>
      <c r="E216" s="206"/>
      <c r="F216" s="206"/>
      <c r="G216" s="206"/>
      <c r="H216" s="175">
        <v>0</v>
      </c>
    </row>
    <row r="217" spans="1:10" ht="30.75" customHeight="1" x14ac:dyDescent="0.25">
      <c r="A217" s="366"/>
      <c r="B217" s="214"/>
      <c r="C217" s="215"/>
      <c r="D217" s="363" t="s">
        <v>651</v>
      </c>
      <c r="E217" s="363"/>
      <c r="F217" s="363"/>
      <c r="G217" s="363"/>
      <c r="H217" s="43">
        <f>H216/(H84*3)</f>
        <v>0</v>
      </c>
    </row>
    <row r="218" spans="1:10" ht="21.75" customHeight="1" x14ac:dyDescent="0.25">
      <c r="A218" s="210" t="s">
        <v>530</v>
      </c>
      <c r="B218" s="208" t="s">
        <v>531</v>
      </c>
      <c r="C218" s="208"/>
      <c r="D218" s="208"/>
      <c r="E218" s="208"/>
      <c r="F218" s="208"/>
      <c r="G218" s="208"/>
      <c r="H218" s="306" t="e">
        <f>IF(H223&gt;=4,4,IF(H223&lt;1,0,IF(H223&lt;2,1,IF(H223&lt;3,2,3))))</f>
        <v>#DIV/0!</v>
      </c>
    </row>
    <row r="219" spans="1:10" ht="33.75" customHeight="1" x14ac:dyDescent="0.25">
      <c r="A219" s="210"/>
      <c r="B219" s="351"/>
      <c r="C219" s="293"/>
      <c r="D219" s="206" t="s">
        <v>533</v>
      </c>
      <c r="E219" s="206"/>
      <c r="F219" s="206"/>
      <c r="G219" s="206"/>
      <c r="H219" s="175">
        <v>0</v>
      </c>
      <c r="J219" s="170"/>
    </row>
    <row r="220" spans="1:10" ht="44.25" customHeight="1" x14ac:dyDescent="0.25">
      <c r="A220" s="210"/>
      <c r="B220" s="351"/>
      <c r="C220" s="367"/>
      <c r="D220" s="206" t="s">
        <v>534</v>
      </c>
      <c r="E220" s="206"/>
      <c r="F220" s="206"/>
      <c r="G220" s="206"/>
      <c r="H220" s="175">
        <v>0</v>
      </c>
      <c r="J220" s="170"/>
    </row>
    <row r="221" spans="1:10" ht="33" customHeight="1" x14ac:dyDescent="0.25">
      <c r="A221" s="210"/>
      <c r="B221" s="351"/>
      <c r="C221" s="367"/>
      <c r="D221" s="206" t="s">
        <v>535</v>
      </c>
      <c r="E221" s="206"/>
      <c r="F221" s="206"/>
      <c r="G221" s="206"/>
      <c r="H221" s="175">
        <v>0</v>
      </c>
      <c r="J221" s="170"/>
    </row>
    <row r="222" spans="1:10" ht="37.5" customHeight="1" x14ac:dyDescent="0.25">
      <c r="A222" s="210"/>
      <c r="B222" s="351"/>
      <c r="C222" s="367"/>
      <c r="D222" s="206" t="s">
        <v>532</v>
      </c>
      <c r="E222" s="206"/>
      <c r="F222" s="206"/>
      <c r="G222" s="206"/>
      <c r="H222" s="175">
        <v>0</v>
      </c>
      <c r="J222" s="170"/>
    </row>
    <row r="223" spans="1:10" ht="15" customHeight="1" x14ac:dyDescent="0.25">
      <c r="A223" s="210"/>
      <c r="B223" s="351"/>
      <c r="C223" s="367"/>
      <c r="D223" s="225" t="s">
        <v>536</v>
      </c>
      <c r="E223" s="307"/>
      <c r="F223" s="307"/>
      <c r="G223" s="226"/>
      <c r="H223" s="229" t="e">
        <f>(H219+2*H220+3*H221+4*H222)/(H219+H220+H221+H222)</f>
        <v>#DIV/0!</v>
      </c>
    </row>
    <row r="224" spans="1:10" ht="15" customHeight="1" x14ac:dyDescent="0.25">
      <c r="A224" s="210"/>
      <c r="B224" s="351"/>
      <c r="C224" s="367"/>
      <c r="D224" s="225" t="s">
        <v>537</v>
      </c>
      <c r="E224" s="307"/>
      <c r="F224" s="307"/>
      <c r="G224" s="226"/>
      <c r="H224" s="229"/>
    </row>
    <row r="225" spans="1:10" ht="15" customHeight="1" x14ac:dyDescent="0.25">
      <c r="A225" s="210"/>
      <c r="B225" s="352"/>
      <c r="C225" s="294"/>
      <c r="D225" s="227" t="s">
        <v>538</v>
      </c>
      <c r="E225" s="308"/>
      <c r="F225" s="308"/>
      <c r="G225" s="228"/>
      <c r="H225" s="230"/>
    </row>
    <row r="226" spans="1:10" ht="53.25" customHeight="1" x14ac:dyDescent="0.25">
      <c r="A226" s="210"/>
      <c r="B226" s="217" t="s">
        <v>539</v>
      </c>
      <c r="C226" s="209"/>
      <c r="D226" s="209"/>
      <c r="E226" s="209"/>
      <c r="F226" s="209"/>
      <c r="G226" s="209"/>
      <c r="H226" s="49">
        <v>0</v>
      </c>
    </row>
    <row r="227" spans="1:10" ht="29.25" customHeight="1" x14ac:dyDescent="0.25">
      <c r="A227" s="210"/>
      <c r="B227" s="217" t="s">
        <v>540</v>
      </c>
      <c r="C227" s="209"/>
      <c r="D227" s="209"/>
      <c r="E227" s="209"/>
      <c r="F227" s="209"/>
      <c r="G227" s="209"/>
      <c r="H227" s="49">
        <v>0</v>
      </c>
    </row>
    <row r="228" spans="1:10" ht="39" customHeight="1" x14ac:dyDescent="0.25">
      <c r="A228" s="210" t="s">
        <v>541</v>
      </c>
      <c r="B228" s="207" t="s">
        <v>542</v>
      </c>
      <c r="C228" s="208"/>
      <c r="D228" s="208"/>
      <c r="E228" s="208"/>
      <c r="F228" s="209"/>
      <c r="G228" s="209"/>
      <c r="H228" s="43">
        <f>IF(AND(H229="D IV",H230&gt;=216),4,IF(AND(H229="D IV",H230&lt;126),0,IF(AND(H229="D IV",H230&lt;156),1,IF(AND(H229="D IV",H230&lt;186),2,IF(AND(H229="D IV",H230&lt;216),3,IF(AND(H229="D III",H230&gt;=165),4,IF(AND(H229="D III",H230&lt;90),0,IF(AND(H229="D III",H230&lt;115),1,IF(AND(H229="D III",H230&lt;140),2,IF(AND(H229="D III",H230&lt;165),3,IF(AND(H229="D II",H230&gt;=120),4,IF(AND(H229="D II",H230&lt;60),0,IF(AND(H229="D II",H230&lt;80),1,IF(AND(H229="D II",H230&lt;100),2,IF(AND(H229="D II",H230&lt;120),3,IF(AND(H229="D I",H230&gt;=60),4,IF(AND(H229="D I",H230&lt;15),0,IF(AND(H229="D I",H230&lt;30),1,IF(AND(H229="D I",H230&lt;45),2,IF(AND(H229="D I",H230&lt;60),3))))))))))))))))))))</f>
        <v>4</v>
      </c>
    </row>
    <row r="229" spans="1:10" ht="15" customHeight="1" x14ac:dyDescent="0.25">
      <c r="A229" s="210"/>
      <c r="B229" s="345"/>
      <c r="C229" s="342"/>
      <c r="D229" s="223" t="s">
        <v>472</v>
      </c>
      <c r="E229" s="336"/>
      <c r="F229" s="336"/>
      <c r="G229" s="224"/>
      <c r="H229" s="60" t="str">
        <f>H166</f>
        <v>D III</v>
      </c>
    </row>
    <row r="230" spans="1:10" ht="15" customHeight="1" x14ac:dyDescent="0.25">
      <c r="A230" s="210"/>
      <c r="B230" s="346"/>
      <c r="C230" s="343"/>
      <c r="D230" s="227" t="s">
        <v>543</v>
      </c>
      <c r="E230" s="308"/>
      <c r="F230" s="308"/>
      <c r="G230" s="228"/>
      <c r="H230" s="58">
        <v>360</v>
      </c>
    </row>
    <row r="231" spans="1:10" x14ac:dyDescent="0.25">
      <c r="A231" s="210"/>
      <c r="B231" s="207" t="s">
        <v>546</v>
      </c>
      <c r="C231" s="208"/>
      <c r="D231" s="208"/>
      <c r="E231" s="208"/>
      <c r="F231" s="209"/>
      <c r="G231" s="209"/>
      <c r="H231" s="60">
        <f>IF(H232=100,4,IF(H232&lt;70,0,IF(H232&lt;80,1,IF(H232&lt;90,2,3))))</f>
        <v>0</v>
      </c>
    </row>
    <row r="232" spans="1:10" ht="44.25" customHeight="1" x14ac:dyDescent="0.25">
      <c r="A232" s="210"/>
      <c r="B232" s="346"/>
      <c r="C232" s="343"/>
      <c r="D232" s="231" t="s">
        <v>547</v>
      </c>
      <c r="E232" s="314"/>
      <c r="F232" s="314"/>
      <c r="G232" s="232"/>
      <c r="H232" s="58">
        <v>0</v>
      </c>
      <c r="J232" s="64"/>
    </row>
    <row r="233" spans="1:10" x14ac:dyDescent="0.25">
      <c r="A233" s="210"/>
      <c r="B233" s="207" t="s">
        <v>544</v>
      </c>
      <c r="C233" s="208"/>
      <c r="D233" s="208"/>
      <c r="E233" s="208"/>
      <c r="F233" s="209"/>
      <c r="G233" s="209"/>
      <c r="H233" s="43">
        <f>IF(H234="≥ 2 judul jurnal yang relevan",4,IF(H234="1 judul jurnal yang relevan",3,IF(H234="Tidak ada jurnal yang nomornya lengkap",2,IF(H234="Tidak memiliki jurnal populer",1,IF(H234=0,0)))))</f>
        <v>4</v>
      </c>
    </row>
    <row r="234" spans="1:10" ht="44.25" customHeight="1" x14ac:dyDescent="0.25">
      <c r="A234" s="210"/>
      <c r="B234" s="346"/>
      <c r="C234" s="343"/>
      <c r="D234" s="231" t="s">
        <v>549</v>
      </c>
      <c r="E234" s="314"/>
      <c r="F234" s="314"/>
      <c r="G234" s="232"/>
      <c r="H234" s="62" t="s">
        <v>554</v>
      </c>
    </row>
    <row r="235" spans="1:10" x14ac:dyDescent="0.25">
      <c r="A235" s="210"/>
      <c r="B235" s="208" t="s">
        <v>545</v>
      </c>
      <c r="C235" s="208"/>
      <c r="D235" s="208"/>
      <c r="E235" s="208"/>
      <c r="F235" s="208"/>
      <c r="G235" s="208"/>
      <c r="H235" s="43">
        <f>IF(H236="≥ 2 judul jurnal yang relevan",4,IF(H236="1 judul jurnal yang relevan",3,IF(H236="Tidak ada jurnal yang nomornya lengkap",2,IF(H236="Tidak memiliki jurnal populer",1,IF(H236=0,0)))))</f>
        <v>4</v>
      </c>
    </row>
    <row r="236" spans="1:10" ht="45" customHeight="1" x14ac:dyDescent="0.25">
      <c r="A236" s="210"/>
      <c r="B236" s="346"/>
      <c r="C236" s="343"/>
      <c r="D236" s="227" t="s">
        <v>550</v>
      </c>
      <c r="E236" s="308"/>
      <c r="F236" s="308"/>
      <c r="G236" s="228"/>
      <c r="H236" s="62" t="s">
        <v>554</v>
      </c>
    </row>
    <row r="237" spans="1:10" x14ac:dyDescent="0.25">
      <c r="A237" s="210"/>
      <c r="B237" s="207" t="s">
        <v>551</v>
      </c>
      <c r="C237" s="208"/>
      <c r="D237" s="208"/>
      <c r="E237" s="208"/>
      <c r="F237" s="209"/>
      <c r="G237" s="209"/>
      <c r="H237" s="43">
        <f>IF(H238="≥ 2 judul jurnal yang relevan",4,IF(H238="1 judul jurnal yang relevan",3,IF(H238="Tidak ada jurnal yang nomornya lengkap",2,IF(H238="Tidak memiliki jurnal populer",1,IF(H238=0,0)))))</f>
        <v>3</v>
      </c>
    </row>
    <row r="238" spans="1:10" ht="48.75" customHeight="1" x14ac:dyDescent="0.25">
      <c r="A238" s="210"/>
      <c r="B238" s="346"/>
      <c r="C238" s="343"/>
      <c r="D238" s="231" t="s">
        <v>552</v>
      </c>
      <c r="E238" s="314"/>
      <c r="F238" s="314"/>
      <c r="G238" s="232"/>
      <c r="H238" s="62" t="s">
        <v>555</v>
      </c>
    </row>
    <row r="239" spans="1:10" x14ac:dyDescent="0.25">
      <c r="A239" s="210"/>
      <c r="B239" s="207" t="s">
        <v>548</v>
      </c>
      <c r="C239" s="208"/>
      <c r="D239" s="208"/>
      <c r="E239" s="208"/>
      <c r="F239" s="209"/>
      <c r="G239" s="209"/>
      <c r="H239" s="43">
        <f>IF(H240&gt;=6,4,IF(H240=0,0,IF(H240=1,1,IF(H240&lt;=3,2,3))))</f>
        <v>0</v>
      </c>
    </row>
    <row r="240" spans="1:10" ht="15" customHeight="1" x14ac:dyDescent="0.25">
      <c r="A240" s="210"/>
      <c r="B240" s="346"/>
      <c r="C240" s="343"/>
      <c r="D240" s="231" t="s">
        <v>553</v>
      </c>
      <c r="E240" s="314"/>
      <c r="F240" s="314"/>
      <c r="G240" s="232"/>
      <c r="H240" s="58">
        <v>0</v>
      </c>
    </row>
    <row r="241" spans="1:8" x14ac:dyDescent="0.25">
      <c r="A241" s="210"/>
      <c r="B241" s="217" t="s">
        <v>556</v>
      </c>
      <c r="C241" s="209"/>
      <c r="D241" s="209"/>
      <c r="E241" s="209"/>
      <c r="F241" s="209"/>
      <c r="G241" s="209"/>
      <c r="H241" s="49">
        <v>0</v>
      </c>
    </row>
    <row r="242" spans="1:8" ht="52.5" customHeight="1" x14ac:dyDescent="0.25">
      <c r="A242" s="210"/>
      <c r="B242" s="217" t="s">
        <v>557</v>
      </c>
      <c r="C242" s="209"/>
      <c r="D242" s="209"/>
      <c r="E242" s="209"/>
      <c r="F242" s="209"/>
      <c r="G242" s="209"/>
      <c r="H242" s="49">
        <v>0</v>
      </c>
    </row>
    <row r="243" spans="1:8" ht="39" customHeight="1" x14ac:dyDescent="0.25">
      <c r="A243" s="210" t="s">
        <v>558</v>
      </c>
      <c r="B243" s="217" t="s">
        <v>559</v>
      </c>
      <c r="C243" s="209"/>
      <c r="D243" s="209"/>
      <c r="E243" s="209"/>
      <c r="F243" s="209"/>
      <c r="G243" s="209"/>
      <c r="H243" s="49">
        <v>0</v>
      </c>
    </row>
    <row r="244" spans="1:8" x14ac:dyDescent="0.25">
      <c r="A244" s="210"/>
      <c r="B244" s="207" t="s">
        <v>560</v>
      </c>
      <c r="C244" s="208"/>
      <c r="D244" s="208"/>
      <c r="E244" s="208"/>
      <c r="F244" s="209"/>
      <c r="G244" s="209"/>
      <c r="H244" s="368">
        <f>H249</f>
        <v>0</v>
      </c>
    </row>
    <row r="245" spans="1:8" ht="18.75" customHeight="1" x14ac:dyDescent="0.25">
      <c r="A245" s="210"/>
      <c r="B245" s="212"/>
      <c r="C245" s="218"/>
      <c r="D245" s="358" t="s">
        <v>724</v>
      </c>
      <c r="E245" s="359"/>
      <c r="F245" s="326"/>
      <c r="G245" s="326"/>
      <c r="H245" s="58">
        <v>0</v>
      </c>
    </row>
    <row r="246" spans="1:8" ht="18.75" customHeight="1" x14ac:dyDescent="0.25">
      <c r="A246" s="210"/>
      <c r="B246" s="212"/>
      <c r="C246" s="218"/>
      <c r="D246" s="359" t="s">
        <v>725</v>
      </c>
      <c r="E246" s="359"/>
      <c r="F246" s="173"/>
      <c r="G246" s="173"/>
      <c r="H246" s="172">
        <v>0</v>
      </c>
    </row>
    <row r="247" spans="1:8" ht="18.75" customHeight="1" x14ac:dyDescent="0.25">
      <c r="A247" s="210"/>
      <c r="B247" s="212"/>
      <c r="C247" s="218"/>
      <c r="D247" s="359" t="s">
        <v>726</v>
      </c>
      <c r="E247" s="359"/>
      <c r="F247" s="173"/>
      <c r="G247" s="173"/>
      <c r="H247" s="172">
        <v>0</v>
      </c>
    </row>
    <row r="248" spans="1:8" ht="18.75" customHeight="1" x14ac:dyDescent="0.25">
      <c r="A248" s="210"/>
      <c r="B248" s="212"/>
      <c r="C248" s="218"/>
      <c r="D248" s="359" t="s">
        <v>727</v>
      </c>
      <c r="E248" s="359"/>
      <c r="F248" s="173"/>
      <c r="G248" s="173"/>
      <c r="H248" s="172">
        <v>0</v>
      </c>
    </row>
    <row r="249" spans="1:8" ht="18.75" customHeight="1" x14ac:dyDescent="0.25">
      <c r="A249" s="210"/>
      <c r="B249" s="212"/>
      <c r="C249" s="218"/>
      <c r="D249" s="303" t="s">
        <v>668</v>
      </c>
      <c r="E249" s="304"/>
      <c r="F249" s="304"/>
      <c r="G249" s="305"/>
      <c r="H249" s="369">
        <f>IF(H245+H246+H247+H248&gt;11,"Salah",(H245+2*H246+3*H247+4*H248)/11)</f>
        <v>0</v>
      </c>
    </row>
    <row r="250" spans="1:8" ht="15" customHeight="1" x14ac:dyDescent="0.25">
      <c r="A250" s="210" t="s">
        <v>561</v>
      </c>
      <c r="B250" s="207" t="s">
        <v>562</v>
      </c>
      <c r="C250" s="208"/>
      <c r="D250" s="208"/>
      <c r="E250" s="208"/>
      <c r="F250" s="209"/>
      <c r="G250" s="209"/>
      <c r="H250" s="43">
        <f>IF(H255=0,0,IF(H255&lt;1,3*H255+1,4))</f>
        <v>0</v>
      </c>
    </row>
    <row r="251" spans="1:8" ht="30.75" customHeight="1" x14ac:dyDescent="0.25">
      <c r="A251" s="210"/>
      <c r="B251" s="351"/>
      <c r="C251" s="367"/>
      <c r="D251" s="206" t="s">
        <v>563</v>
      </c>
      <c r="E251" s="206"/>
      <c r="F251" s="206"/>
      <c r="G251" s="206"/>
      <c r="H251" s="58">
        <v>0</v>
      </c>
    </row>
    <row r="252" spans="1:8" ht="40.5" customHeight="1" x14ac:dyDescent="0.25">
      <c r="A252" s="210"/>
      <c r="B252" s="351"/>
      <c r="C252" s="367"/>
      <c r="D252" s="206" t="s">
        <v>564</v>
      </c>
      <c r="E252" s="206"/>
      <c r="F252" s="206"/>
      <c r="G252" s="206"/>
      <c r="H252" s="58">
        <v>0</v>
      </c>
    </row>
    <row r="253" spans="1:8" ht="31.5" customHeight="1" x14ac:dyDescent="0.25">
      <c r="A253" s="210"/>
      <c r="B253" s="351"/>
      <c r="C253" s="367"/>
      <c r="D253" s="206" t="s">
        <v>565</v>
      </c>
      <c r="E253" s="206"/>
      <c r="F253" s="206"/>
      <c r="G253" s="206"/>
      <c r="H253" s="58">
        <v>0</v>
      </c>
    </row>
    <row r="254" spans="1:8" ht="29.25" customHeight="1" x14ac:dyDescent="0.25">
      <c r="A254" s="210"/>
      <c r="B254" s="351"/>
      <c r="C254" s="367"/>
      <c r="D254" s="206" t="s">
        <v>566</v>
      </c>
      <c r="E254" s="206"/>
      <c r="F254" s="206"/>
      <c r="G254" s="206"/>
      <c r="H254" s="60">
        <f>H84</f>
        <v>7</v>
      </c>
    </row>
    <row r="255" spans="1:8" ht="26.25" customHeight="1" x14ac:dyDescent="0.25">
      <c r="A255" s="210"/>
      <c r="B255" s="352"/>
      <c r="C255" s="294"/>
      <c r="D255" s="206" t="s">
        <v>567</v>
      </c>
      <c r="E255" s="206"/>
      <c r="F255" s="206"/>
      <c r="G255" s="206"/>
      <c r="H255" s="43">
        <f>(4*H251+2*H252+H253)/H254</f>
        <v>0</v>
      </c>
    </row>
    <row r="256" spans="1:8" ht="27" customHeight="1" x14ac:dyDescent="0.25">
      <c r="A256" s="210"/>
      <c r="B256" s="207" t="s">
        <v>568</v>
      </c>
      <c r="C256" s="208"/>
      <c r="D256" s="208"/>
      <c r="E256" s="208"/>
      <c r="F256" s="209"/>
      <c r="G256" s="209"/>
      <c r="H256" s="43">
        <f>IF(H261=0,0,IF(H261&lt;3,H261+1,4))</f>
        <v>0</v>
      </c>
    </row>
    <row r="257" spans="1:8" ht="44.25" customHeight="1" x14ac:dyDescent="0.25">
      <c r="A257" s="210"/>
      <c r="B257" s="351"/>
      <c r="C257" s="367"/>
      <c r="D257" s="206" t="s">
        <v>569</v>
      </c>
      <c r="E257" s="206"/>
      <c r="F257" s="206"/>
      <c r="G257" s="206"/>
      <c r="H257" s="175">
        <v>0</v>
      </c>
    </row>
    <row r="258" spans="1:8" ht="42" customHeight="1" x14ac:dyDescent="0.25">
      <c r="A258" s="210"/>
      <c r="B258" s="351"/>
      <c r="C258" s="367"/>
      <c r="D258" s="206" t="s">
        <v>570</v>
      </c>
      <c r="E258" s="206"/>
      <c r="F258" s="206"/>
      <c r="G258" s="206"/>
      <c r="H258" s="175">
        <v>0</v>
      </c>
    </row>
    <row r="259" spans="1:8" ht="80.25" customHeight="1" x14ac:dyDescent="0.25">
      <c r="A259" s="210"/>
      <c r="B259" s="351"/>
      <c r="C259" s="367"/>
      <c r="D259" s="206" t="s">
        <v>571</v>
      </c>
      <c r="E259" s="206"/>
      <c r="F259" s="206"/>
      <c r="G259" s="206"/>
      <c r="H259" s="175">
        <v>0</v>
      </c>
    </row>
    <row r="260" spans="1:8" ht="40.5" customHeight="1" x14ac:dyDescent="0.25">
      <c r="A260" s="210"/>
      <c r="B260" s="351"/>
      <c r="C260" s="367"/>
      <c r="D260" s="206" t="s">
        <v>572</v>
      </c>
      <c r="E260" s="206"/>
      <c r="F260" s="206"/>
      <c r="G260" s="206"/>
      <c r="H260" s="43">
        <f>H84</f>
        <v>7</v>
      </c>
    </row>
    <row r="261" spans="1:8" ht="15" customHeight="1" x14ac:dyDescent="0.25">
      <c r="A261" s="210"/>
      <c r="B261" s="352"/>
      <c r="C261" s="294"/>
      <c r="D261" s="206" t="s">
        <v>567</v>
      </c>
      <c r="E261" s="206"/>
      <c r="F261" s="206"/>
      <c r="G261" s="206"/>
      <c r="H261" s="43">
        <f>(4*H257+2*H258+H259)/H260</f>
        <v>0</v>
      </c>
    </row>
    <row r="262" spans="1:8" ht="39" customHeight="1" x14ac:dyDescent="0.25">
      <c r="A262" s="210"/>
      <c r="B262" s="207" t="s">
        <v>573</v>
      </c>
      <c r="C262" s="208"/>
      <c r="D262" s="208"/>
      <c r="E262" s="208"/>
      <c r="F262" s="209"/>
      <c r="G262" s="209"/>
      <c r="H262" s="49">
        <v>0</v>
      </c>
    </row>
    <row r="263" spans="1:8" ht="42.75" customHeight="1" x14ac:dyDescent="0.25">
      <c r="A263" s="211" t="s">
        <v>574</v>
      </c>
      <c r="B263" s="207" t="s">
        <v>575</v>
      </c>
      <c r="C263" s="208"/>
      <c r="D263" s="208"/>
      <c r="E263" s="208"/>
      <c r="F263" s="209"/>
      <c r="G263" s="209"/>
      <c r="H263" s="43">
        <f>IF(H268="Salah Isi","Salah Isi",IF(H268=0,0,IF(H268&lt;2,1+(1.5*H268),4)))</f>
        <v>0</v>
      </c>
    </row>
    <row r="264" spans="1:8" ht="36.75" customHeight="1" x14ac:dyDescent="0.25">
      <c r="A264" s="211"/>
      <c r="B264" s="351"/>
      <c r="C264" s="367"/>
      <c r="D264" s="206" t="s">
        <v>576</v>
      </c>
      <c r="E264" s="206"/>
      <c r="F264" s="206"/>
      <c r="G264" s="206"/>
      <c r="H264" s="58">
        <v>0</v>
      </c>
    </row>
    <row r="265" spans="1:8" ht="45.75" customHeight="1" x14ac:dyDescent="0.25">
      <c r="A265" s="211"/>
      <c r="B265" s="351"/>
      <c r="C265" s="367"/>
      <c r="D265" s="206" t="s">
        <v>577</v>
      </c>
      <c r="E265" s="206"/>
      <c r="F265" s="206"/>
      <c r="G265" s="206"/>
      <c r="H265" s="58">
        <v>0</v>
      </c>
    </row>
    <row r="266" spans="1:8" ht="36" customHeight="1" x14ac:dyDescent="0.25">
      <c r="A266" s="211"/>
      <c r="B266" s="351"/>
      <c r="C266" s="367"/>
      <c r="D266" s="206" t="s">
        <v>578</v>
      </c>
      <c r="E266" s="206"/>
      <c r="F266" s="206"/>
      <c r="G266" s="206"/>
      <c r="H266" s="58">
        <v>0</v>
      </c>
    </row>
    <row r="267" spans="1:8" ht="30.75" customHeight="1" x14ac:dyDescent="0.25">
      <c r="A267" s="211"/>
      <c r="B267" s="351"/>
      <c r="C267" s="367"/>
      <c r="D267" s="206" t="s">
        <v>572</v>
      </c>
      <c r="E267" s="206"/>
      <c r="F267" s="206"/>
      <c r="G267" s="206"/>
      <c r="H267" s="43">
        <f>H84</f>
        <v>7</v>
      </c>
    </row>
    <row r="268" spans="1:8" ht="15" customHeight="1" x14ac:dyDescent="0.25">
      <c r="A268" s="211"/>
      <c r="B268" s="352"/>
      <c r="C268" s="294"/>
      <c r="D268" s="206" t="s">
        <v>567</v>
      </c>
      <c r="E268" s="206"/>
      <c r="F268" s="206"/>
      <c r="G268" s="206"/>
      <c r="H268" s="43">
        <f>(4*H264+2*H265+H266)/H267</f>
        <v>0</v>
      </c>
    </row>
    <row r="269" spans="1:8" ht="27.75" customHeight="1" x14ac:dyDescent="0.25">
      <c r="A269" s="211"/>
      <c r="B269" s="207" t="s">
        <v>579</v>
      </c>
      <c r="C269" s="208"/>
      <c r="D269" s="208"/>
      <c r="E269" s="208"/>
      <c r="F269" s="209"/>
      <c r="G269" s="209"/>
      <c r="H269" s="49">
        <v>0</v>
      </c>
    </row>
    <row r="270" spans="1:8" ht="51.75" customHeight="1" x14ac:dyDescent="0.25">
      <c r="A270" s="211" t="s">
        <v>580</v>
      </c>
      <c r="B270" s="207" t="s">
        <v>581</v>
      </c>
      <c r="C270" s="208"/>
      <c r="D270" s="208"/>
      <c r="E270" s="208"/>
      <c r="F270" s="209"/>
      <c r="G270" s="209"/>
      <c r="H270" s="49">
        <v>0</v>
      </c>
    </row>
    <row r="271" spans="1:8" x14ac:dyDescent="0.25">
      <c r="A271" s="211"/>
      <c r="B271" s="209" t="s">
        <v>582</v>
      </c>
      <c r="C271" s="209"/>
      <c r="D271" s="209"/>
      <c r="E271" s="209"/>
      <c r="F271" s="209"/>
      <c r="G271" s="209"/>
      <c r="H271" s="49">
        <v>0</v>
      </c>
    </row>
  </sheetData>
  <mergeCells count="307">
    <mergeCell ref="D259:G259"/>
    <mergeCell ref="D260:G260"/>
    <mergeCell ref="D261:G261"/>
    <mergeCell ref="D264:G264"/>
    <mergeCell ref="D265:G265"/>
    <mergeCell ref="D266:G266"/>
    <mergeCell ref="D267:G267"/>
    <mergeCell ref="D268:G268"/>
    <mergeCell ref="D186:G186"/>
    <mergeCell ref="D187:G187"/>
    <mergeCell ref="D188:G188"/>
    <mergeCell ref="D198:G198"/>
    <mergeCell ref="D199:G199"/>
    <mergeCell ref="D200:G200"/>
    <mergeCell ref="B198:C200"/>
    <mergeCell ref="B202:C211"/>
    <mergeCell ref="D202:G202"/>
    <mergeCell ref="D203:G203"/>
    <mergeCell ref="D205:G205"/>
    <mergeCell ref="D206:G206"/>
    <mergeCell ref="D207:G207"/>
    <mergeCell ref="D209:G209"/>
    <mergeCell ref="D210:G210"/>
    <mergeCell ref="D211:G211"/>
    <mergeCell ref="D208:G208"/>
    <mergeCell ref="D153:G153"/>
    <mergeCell ref="D154:G154"/>
    <mergeCell ref="B156:C158"/>
    <mergeCell ref="D156:G156"/>
    <mergeCell ref="D157:G157"/>
    <mergeCell ref="D158:G158"/>
    <mergeCell ref="D161:G161"/>
    <mergeCell ref="D162:G162"/>
    <mergeCell ref="D163:G163"/>
    <mergeCell ref="D125:G125"/>
    <mergeCell ref="D126:G126"/>
    <mergeCell ref="D127:G127"/>
    <mergeCell ref="D130:G130"/>
    <mergeCell ref="D132:G132"/>
    <mergeCell ref="D133:G133"/>
    <mergeCell ref="D134:G134"/>
    <mergeCell ref="D109:G109"/>
    <mergeCell ref="D110:G110"/>
    <mergeCell ref="D111:G111"/>
    <mergeCell ref="D114:G114"/>
    <mergeCell ref="D115:G115"/>
    <mergeCell ref="D116:G116"/>
    <mergeCell ref="D118:G118"/>
    <mergeCell ref="D120:G120"/>
    <mergeCell ref="D121:G121"/>
    <mergeCell ref="D95:G95"/>
    <mergeCell ref="D96:G96"/>
    <mergeCell ref="D98:G98"/>
    <mergeCell ref="D99:G99"/>
    <mergeCell ref="D101:G101"/>
    <mergeCell ref="D102:G102"/>
    <mergeCell ref="D105:G105"/>
    <mergeCell ref="D106:G106"/>
    <mergeCell ref="D107:G107"/>
    <mergeCell ref="D76:G76"/>
    <mergeCell ref="D77:G77"/>
    <mergeCell ref="D78:G78"/>
    <mergeCell ref="D79:G79"/>
    <mergeCell ref="D84:G84"/>
    <mergeCell ref="D85:G85"/>
    <mergeCell ref="D86:G86"/>
    <mergeCell ref="D88:G88"/>
    <mergeCell ref="D89:G89"/>
    <mergeCell ref="D44:G44"/>
    <mergeCell ref="D45:G45"/>
    <mergeCell ref="D46:G46"/>
    <mergeCell ref="D47:G47"/>
    <mergeCell ref="D54:G54"/>
    <mergeCell ref="D49:G49"/>
    <mergeCell ref="D50:G50"/>
    <mergeCell ref="D51:G51"/>
    <mergeCell ref="D52:G52"/>
    <mergeCell ref="D53:G53"/>
    <mergeCell ref="D36:G36"/>
    <mergeCell ref="B33:C36"/>
    <mergeCell ref="D41:G41"/>
    <mergeCell ref="A32:A41"/>
    <mergeCell ref="B38:C41"/>
    <mergeCell ref="D39:G39"/>
    <mergeCell ref="D38:G38"/>
    <mergeCell ref="D40:G40"/>
    <mergeCell ref="D43:G43"/>
    <mergeCell ref="A42:A54"/>
    <mergeCell ref="B49:C54"/>
    <mergeCell ref="D25:G25"/>
    <mergeCell ref="D26:G26"/>
    <mergeCell ref="D27:G27"/>
    <mergeCell ref="D28:G28"/>
    <mergeCell ref="D29:G29"/>
    <mergeCell ref="D30:G30"/>
    <mergeCell ref="D33:G33"/>
    <mergeCell ref="D34:G34"/>
    <mergeCell ref="D35:G35"/>
    <mergeCell ref="A1:H1"/>
    <mergeCell ref="B13:C15"/>
    <mergeCell ref="D17:G17"/>
    <mergeCell ref="D18:G18"/>
    <mergeCell ref="D23:G23"/>
    <mergeCell ref="B17:C19"/>
    <mergeCell ref="D21:G21"/>
    <mergeCell ref="D22:G22"/>
    <mergeCell ref="B181:G181"/>
    <mergeCell ref="B183:G183"/>
    <mergeCell ref="B177:G177"/>
    <mergeCell ref="B178:G178"/>
    <mergeCell ref="B179:G179"/>
    <mergeCell ref="B180:G180"/>
    <mergeCell ref="D176:G176"/>
    <mergeCell ref="D182:G182"/>
    <mergeCell ref="D184:G184"/>
    <mergeCell ref="B172:G172"/>
    <mergeCell ref="B173:G173"/>
    <mergeCell ref="B175:G175"/>
    <mergeCell ref="B169:G169"/>
    <mergeCell ref="B171:G171"/>
    <mergeCell ref="D167:G167"/>
    <mergeCell ref="D168:G168"/>
    <mergeCell ref="D170:G170"/>
    <mergeCell ref="D174:G174"/>
    <mergeCell ref="B165:G165"/>
    <mergeCell ref="B155:G155"/>
    <mergeCell ref="B159:G159"/>
    <mergeCell ref="B160:G160"/>
    <mergeCell ref="D164:G164"/>
    <mergeCell ref="D166:G166"/>
    <mergeCell ref="B128:G128"/>
    <mergeCell ref="B129:G129"/>
    <mergeCell ref="B151:G151"/>
    <mergeCell ref="B144:G144"/>
    <mergeCell ref="B145:G145"/>
    <mergeCell ref="B146:G146"/>
    <mergeCell ref="B147:G147"/>
    <mergeCell ref="D135:G135"/>
    <mergeCell ref="D138:G138"/>
    <mergeCell ref="D139:G139"/>
    <mergeCell ref="D140:G140"/>
    <mergeCell ref="D141:G141"/>
    <mergeCell ref="D142:G142"/>
    <mergeCell ref="D148:G148"/>
    <mergeCell ref="D149:G149"/>
    <mergeCell ref="D150:G150"/>
    <mergeCell ref="D152:G152"/>
    <mergeCell ref="A96:A107"/>
    <mergeCell ref="A108:A116"/>
    <mergeCell ref="A117:A130"/>
    <mergeCell ref="A131:A143"/>
    <mergeCell ref="B143:G143"/>
    <mergeCell ref="B136:G136"/>
    <mergeCell ref="B137:G137"/>
    <mergeCell ref="B131:G131"/>
    <mergeCell ref="B103:G103"/>
    <mergeCell ref="B97:G97"/>
    <mergeCell ref="B100:G100"/>
    <mergeCell ref="B94:G94"/>
    <mergeCell ref="D91:G91"/>
    <mergeCell ref="B91:C93"/>
    <mergeCell ref="D93:G93"/>
    <mergeCell ref="D92:G92"/>
    <mergeCell ref="B123:G123"/>
    <mergeCell ref="B112:G112"/>
    <mergeCell ref="B113:G113"/>
    <mergeCell ref="B117:G117"/>
    <mergeCell ref="B119:G119"/>
    <mergeCell ref="D122:G122"/>
    <mergeCell ref="D124:G124"/>
    <mergeCell ref="B57:G57"/>
    <mergeCell ref="B104:G104"/>
    <mergeCell ref="B108:G108"/>
    <mergeCell ref="D58:G58"/>
    <mergeCell ref="D59:G59"/>
    <mergeCell ref="D60:G60"/>
    <mergeCell ref="D61:G61"/>
    <mergeCell ref="D63:G63"/>
    <mergeCell ref="D64:G64"/>
    <mergeCell ref="D65:G65"/>
    <mergeCell ref="D66:G66"/>
    <mergeCell ref="D67:G67"/>
    <mergeCell ref="B63:C67"/>
    <mergeCell ref="D70:G70"/>
    <mergeCell ref="D72:G72"/>
    <mergeCell ref="D74:G74"/>
    <mergeCell ref="B90:G90"/>
    <mergeCell ref="A81:A82"/>
    <mergeCell ref="B83:G83"/>
    <mergeCell ref="A83:A86"/>
    <mergeCell ref="B87:G87"/>
    <mergeCell ref="A87:A89"/>
    <mergeCell ref="A91:A93"/>
    <mergeCell ref="B80:G80"/>
    <mergeCell ref="B81:G81"/>
    <mergeCell ref="B82:G82"/>
    <mergeCell ref="B62:G62"/>
    <mergeCell ref="B56:G56"/>
    <mergeCell ref="B37:G37"/>
    <mergeCell ref="B42:G42"/>
    <mergeCell ref="J2:M2"/>
    <mergeCell ref="L3:M3"/>
    <mergeCell ref="L4:M4"/>
    <mergeCell ref="L5:M5"/>
    <mergeCell ref="B55:G55"/>
    <mergeCell ref="B48:G48"/>
    <mergeCell ref="B31:G31"/>
    <mergeCell ref="B32:G32"/>
    <mergeCell ref="B24:G24"/>
    <mergeCell ref="A12:A30"/>
    <mergeCell ref="A56:A74"/>
    <mergeCell ref="A75:A79"/>
    <mergeCell ref="B68:G68"/>
    <mergeCell ref="B69:G69"/>
    <mergeCell ref="B71:G71"/>
    <mergeCell ref="B73:G73"/>
    <mergeCell ref="B75:G75"/>
    <mergeCell ref="B193:G193"/>
    <mergeCell ref="B7:G7"/>
    <mergeCell ref="B8:G8"/>
    <mergeCell ref="A3:A4"/>
    <mergeCell ref="B9:G9"/>
    <mergeCell ref="B10:G10"/>
    <mergeCell ref="B2:G2"/>
    <mergeCell ref="B3:G3"/>
    <mergeCell ref="B4:G4"/>
    <mergeCell ref="B5:G5"/>
    <mergeCell ref="B6:G6"/>
    <mergeCell ref="B11:G11"/>
    <mergeCell ref="B12:G12"/>
    <mergeCell ref="D14:E14"/>
    <mergeCell ref="B16:G16"/>
    <mergeCell ref="B20:G20"/>
    <mergeCell ref="A144:A159"/>
    <mergeCell ref="A160:A172"/>
    <mergeCell ref="A173:A178"/>
    <mergeCell ref="A179:A188"/>
    <mergeCell ref="A190:A193"/>
    <mergeCell ref="B185:G185"/>
    <mergeCell ref="B189:G189"/>
    <mergeCell ref="B190:G190"/>
    <mergeCell ref="B191:G191"/>
    <mergeCell ref="B192:G192"/>
    <mergeCell ref="B196:G196"/>
    <mergeCell ref="B197:G197"/>
    <mergeCell ref="B201:G201"/>
    <mergeCell ref="B194:G194"/>
    <mergeCell ref="B195:G195"/>
    <mergeCell ref="H223:H225"/>
    <mergeCell ref="B226:G226"/>
    <mergeCell ref="B227:G227"/>
    <mergeCell ref="B228:G228"/>
    <mergeCell ref="B212:G212"/>
    <mergeCell ref="B215:G215"/>
    <mergeCell ref="B218:G218"/>
    <mergeCell ref="D213:G213"/>
    <mergeCell ref="D214:G214"/>
    <mergeCell ref="B213:C214"/>
    <mergeCell ref="D217:G217"/>
    <mergeCell ref="D216:G216"/>
    <mergeCell ref="B216:C217"/>
    <mergeCell ref="B233:G233"/>
    <mergeCell ref="B235:G235"/>
    <mergeCell ref="B237:G237"/>
    <mergeCell ref="B231:G231"/>
    <mergeCell ref="B239:G239"/>
    <mergeCell ref="D229:G229"/>
    <mergeCell ref="D230:G230"/>
    <mergeCell ref="D232:G232"/>
    <mergeCell ref="D234:G234"/>
    <mergeCell ref="D236:G236"/>
    <mergeCell ref="D238:G238"/>
    <mergeCell ref="A218:A227"/>
    <mergeCell ref="A228:A242"/>
    <mergeCell ref="A243:A249"/>
    <mergeCell ref="A197:A217"/>
    <mergeCell ref="D219:G219"/>
    <mergeCell ref="D220:G220"/>
    <mergeCell ref="D221:G221"/>
    <mergeCell ref="D222:G222"/>
    <mergeCell ref="D223:G223"/>
    <mergeCell ref="D224:G224"/>
    <mergeCell ref="D225:G225"/>
    <mergeCell ref="D240:G240"/>
    <mergeCell ref="B256:G256"/>
    <mergeCell ref="B241:G241"/>
    <mergeCell ref="B242:G242"/>
    <mergeCell ref="B243:G243"/>
    <mergeCell ref="B244:G244"/>
    <mergeCell ref="B245:C249"/>
    <mergeCell ref="D249:G249"/>
    <mergeCell ref="D251:G251"/>
    <mergeCell ref="D252:G252"/>
    <mergeCell ref="D253:G253"/>
    <mergeCell ref="D254:G254"/>
    <mergeCell ref="D255:G255"/>
    <mergeCell ref="D257:G257"/>
    <mergeCell ref="D258:G258"/>
    <mergeCell ref="B269:G269"/>
    <mergeCell ref="B270:G270"/>
    <mergeCell ref="B271:G271"/>
    <mergeCell ref="A250:A262"/>
    <mergeCell ref="A263:A269"/>
    <mergeCell ref="A270:A271"/>
    <mergeCell ref="B262:G262"/>
    <mergeCell ref="B263:G263"/>
    <mergeCell ref="B250:G250"/>
  </mergeCells>
  <dataValidations count="7">
    <dataValidation type="list" allowBlank="1" showInputMessage="1" showErrorMessage="1" sqref="H35">
      <formula1>"Diploma I,Diploma II,Diploma III,Diploma IV,"</formula1>
    </dataValidation>
    <dataValidation type="list" allowBlank="1" showInputMessage="1" showErrorMessage="1" sqref="H43:H47">
      <formula1>"ADA,TIDAK ADA"</formula1>
    </dataValidation>
    <dataValidation type="list" allowBlank="1" showInputMessage="1" showErrorMessage="1" sqref="H58:H61 H76:H79">
      <formula1>"YA,TIDAK"</formula1>
    </dataValidation>
    <dataValidation type="list" allowBlank="1" showInputMessage="1" showErrorMessage="1" sqref="H91 H202">
      <formula1>"IPS,Non-IPS"</formula1>
    </dataValidation>
    <dataValidation type="list" allowBlank="1" showInputMessage="1" showErrorMessage="1" sqref="H148">
      <formula1>"D IV,D III,D II,D I"</formula1>
    </dataValidation>
    <dataValidation type="list" allowBlank="1" showInputMessage="1" showErrorMessage="1" sqref="H149">
      <formula1>"IPS,Non IPS"</formula1>
    </dataValidation>
    <dataValidation type="list" allowBlank="1" showInputMessage="1" showErrorMessage="1" sqref="H234 H236 H238">
      <formula1>"≥ 2 judul jurnal yang relevan,1 judul jurnal yang relevan,Tidak ada jurnal yang nomornya lengkap,Tidak memiliki jurnal populer,0"</formula1>
    </dataValidation>
  </dataValidations>
  <pageMargins left="0.7" right="0.7" top="0.75" bottom="0.75" header="0.3" footer="0.3"/>
  <pageSetup paperSize="9" orientation="portrait" horizontalDpi="4294967293" verticalDpi="4294967293"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I51"/>
  <sheetViews>
    <sheetView zoomScaleNormal="100" workbookViewId="0">
      <selection activeCell="F4" sqref="F4"/>
    </sheetView>
  </sheetViews>
  <sheetFormatPr defaultRowHeight="15" x14ac:dyDescent="0.25"/>
  <cols>
    <col min="3" max="3" width="36.85546875" customWidth="1"/>
    <col min="4" max="4" width="37" customWidth="1"/>
    <col min="5" max="7" width="11.85546875" customWidth="1"/>
  </cols>
  <sheetData>
    <row r="1" spans="1:7" ht="15.75" x14ac:dyDescent="0.25">
      <c r="A1" s="40" t="s">
        <v>241</v>
      </c>
    </row>
    <row r="2" spans="1:7" ht="15.75" thickBot="1" x14ac:dyDescent="0.3"/>
    <row r="3" spans="1:7" ht="33" customHeight="1" thickBot="1" x14ac:dyDescent="0.3">
      <c r="A3" s="13" t="s">
        <v>43</v>
      </c>
      <c r="B3" s="14" t="s">
        <v>44</v>
      </c>
      <c r="C3" s="14" t="s">
        <v>45</v>
      </c>
      <c r="D3" s="14" t="s">
        <v>242</v>
      </c>
      <c r="E3" s="14" t="s">
        <v>47</v>
      </c>
      <c r="F3" s="14" t="s">
        <v>48</v>
      </c>
      <c r="G3" s="14" t="s">
        <v>308</v>
      </c>
    </row>
    <row r="4" spans="1:7" ht="39" thickBot="1" x14ac:dyDescent="0.3">
      <c r="A4" s="15">
        <v>1</v>
      </c>
      <c r="B4" s="16" t="s">
        <v>49</v>
      </c>
      <c r="C4" s="17" t="s">
        <v>50</v>
      </c>
      <c r="D4" s="18"/>
      <c r="E4" s="19">
        <v>1.49</v>
      </c>
      <c r="F4" s="167" t="str">
        <f>'Simulasi Pengelola'!E9</f>
        <v>Salah Isi</v>
      </c>
      <c r="G4" s="18" t="e">
        <f>E4*F4</f>
        <v>#VALUE!</v>
      </c>
    </row>
    <row r="5" spans="1:7" ht="39" thickBot="1" x14ac:dyDescent="0.3">
      <c r="A5" s="20">
        <v>2</v>
      </c>
      <c r="B5" s="16" t="s">
        <v>51</v>
      </c>
      <c r="C5" s="21" t="s">
        <v>243</v>
      </c>
      <c r="D5" s="18"/>
      <c r="E5" s="19">
        <v>2.99</v>
      </c>
      <c r="F5" s="167" t="str">
        <f>'Simulasi Pengelola'!E15</f>
        <v>Salah Isi</v>
      </c>
      <c r="G5" s="18" t="e">
        <f t="shared" ref="G5:G49" si="0">E5*F5</f>
        <v>#VALUE!</v>
      </c>
    </row>
    <row r="6" spans="1:7" ht="51.75" thickBot="1" x14ac:dyDescent="0.3">
      <c r="A6" s="20">
        <v>3</v>
      </c>
      <c r="B6" s="16">
        <v>1.2</v>
      </c>
      <c r="C6" s="17" t="s">
        <v>244</v>
      </c>
      <c r="D6" s="18"/>
      <c r="E6" s="19">
        <v>1.49</v>
      </c>
      <c r="F6" s="167" t="str">
        <f>'Simulasi Pengelola'!E22</f>
        <v>salah Isi</v>
      </c>
      <c r="G6" s="18" t="e">
        <f t="shared" si="0"/>
        <v>#VALUE!</v>
      </c>
    </row>
    <row r="7" spans="1:7" ht="64.5" thickBot="1" x14ac:dyDescent="0.3">
      <c r="A7" s="20">
        <v>4</v>
      </c>
      <c r="B7" s="16">
        <v>2.1</v>
      </c>
      <c r="C7" s="17" t="s">
        <v>245</v>
      </c>
      <c r="D7" s="18"/>
      <c r="E7" s="19">
        <v>2.99</v>
      </c>
      <c r="F7" s="167">
        <f>'Simulasi Pengelola'!E25</f>
        <v>0</v>
      </c>
      <c r="G7" s="18">
        <f t="shared" si="0"/>
        <v>0</v>
      </c>
    </row>
    <row r="8" spans="1:7" ht="15.75" thickBot="1" x14ac:dyDescent="0.3">
      <c r="A8" s="20">
        <v>5</v>
      </c>
      <c r="B8" s="16">
        <v>2.2000000000000002</v>
      </c>
      <c r="C8" s="22" t="s">
        <v>246</v>
      </c>
      <c r="D8" s="18"/>
      <c r="E8" s="19">
        <v>1.49</v>
      </c>
      <c r="F8" s="167" t="str">
        <f>'Simulasi Pengelola'!E28</f>
        <v>Salah Isi</v>
      </c>
      <c r="G8" s="18" t="e">
        <f t="shared" si="0"/>
        <v>#VALUE!</v>
      </c>
    </row>
    <row r="9" spans="1:7" ht="51.75" thickBot="1" x14ac:dyDescent="0.3">
      <c r="A9" s="20">
        <v>6</v>
      </c>
      <c r="B9" s="16">
        <v>2.2999999999999998</v>
      </c>
      <c r="C9" s="17" t="s">
        <v>247</v>
      </c>
      <c r="D9" s="18"/>
      <c r="E9" s="19">
        <v>2.99</v>
      </c>
      <c r="F9" s="167" t="str">
        <f>'Simulasi Pengelola'!E31</f>
        <v>Salah Isi</v>
      </c>
      <c r="G9" s="18" t="e">
        <f t="shared" si="0"/>
        <v>#VALUE!</v>
      </c>
    </row>
    <row r="10" spans="1:7" ht="90" thickBot="1" x14ac:dyDescent="0.3">
      <c r="A10" s="20">
        <v>7</v>
      </c>
      <c r="B10" s="16">
        <v>2.4</v>
      </c>
      <c r="C10" s="22" t="s">
        <v>248</v>
      </c>
      <c r="D10" s="18"/>
      <c r="E10" s="19">
        <v>2.99</v>
      </c>
      <c r="F10" s="41">
        <f>'Simulasi Pengelola'!E34</f>
        <v>0</v>
      </c>
      <c r="G10" s="18">
        <f t="shared" si="0"/>
        <v>0</v>
      </c>
    </row>
    <row r="11" spans="1:7" ht="26.25" thickBot="1" x14ac:dyDescent="0.3">
      <c r="A11" s="20">
        <v>8</v>
      </c>
      <c r="B11" s="16" t="s">
        <v>249</v>
      </c>
      <c r="C11" s="17" t="s">
        <v>250</v>
      </c>
      <c r="D11" s="18"/>
      <c r="E11" s="19">
        <v>3.73</v>
      </c>
      <c r="F11" s="167">
        <f>'Simulasi Pengelola'!E37</f>
        <v>0</v>
      </c>
      <c r="G11" s="18">
        <f t="shared" si="0"/>
        <v>0</v>
      </c>
    </row>
    <row r="12" spans="1:7" ht="26.25" thickBot="1" x14ac:dyDescent="0.3">
      <c r="A12" s="20">
        <v>9</v>
      </c>
      <c r="B12" s="16" t="s">
        <v>251</v>
      </c>
      <c r="C12" s="17" t="s">
        <v>252</v>
      </c>
      <c r="D12" s="18"/>
      <c r="E12" s="19">
        <v>3.73</v>
      </c>
      <c r="F12" s="167">
        <f>'Simulasi Pengelola'!E40</f>
        <v>0</v>
      </c>
      <c r="G12" s="18">
        <f t="shared" si="0"/>
        <v>0</v>
      </c>
    </row>
    <row r="13" spans="1:7" ht="39" thickBot="1" x14ac:dyDescent="0.3">
      <c r="A13" s="20">
        <v>10</v>
      </c>
      <c r="B13" s="16" t="s">
        <v>253</v>
      </c>
      <c r="C13" s="17" t="s">
        <v>254</v>
      </c>
      <c r="D13" s="18"/>
      <c r="E13" s="19">
        <v>2.99</v>
      </c>
      <c r="F13" s="167">
        <f>'Simulasi Pengelola'!E43</f>
        <v>0</v>
      </c>
      <c r="G13" s="18">
        <f t="shared" si="0"/>
        <v>0</v>
      </c>
    </row>
    <row r="14" spans="1:7" ht="26.25" thickBot="1" x14ac:dyDescent="0.3">
      <c r="A14" s="20">
        <v>11</v>
      </c>
      <c r="B14" s="16" t="s">
        <v>68</v>
      </c>
      <c r="C14" s="22" t="s">
        <v>255</v>
      </c>
      <c r="D14" s="18"/>
      <c r="E14" s="19">
        <v>2.99</v>
      </c>
      <c r="F14" s="167" t="e">
        <f>'Simulasi Pengelola'!E49</f>
        <v>#DIV/0!</v>
      </c>
      <c r="G14" s="18" t="e">
        <f t="shared" si="0"/>
        <v>#DIV/0!</v>
      </c>
    </row>
    <row r="15" spans="1:7" ht="26.25" thickBot="1" x14ac:dyDescent="0.3">
      <c r="A15" s="20">
        <v>12</v>
      </c>
      <c r="B15" s="16" t="s">
        <v>256</v>
      </c>
      <c r="C15" s="17" t="s">
        <v>257</v>
      </c>
      <c r="D15" s="18"/>
      <c r="E15" s="19">
        <v>2.99</v>
      </c>
      <c r="F15" s="167" t="str">
        <f>'Simulasi Pengelola'!E52</f>
        <v>Salah Isi</v>
      </c>
      <c r="G15" s="18" t="e">
        <f t="shared" si="0"/>
        <v>#VALUE!</v>
      </c>
    </row>
    <row r="16" spans="1:7" ht="15.75" thickBot="1" x14ac:dyDescent="0.3">
      <c r="A16" s="20">
        <v>13</v>
      </c>
      <c r="B16" s="16" t="s">
        <v>258</v>
      </c>
      <c r="C16" s="22" t="s">
        <v>259</v>
      </c>
      <c r="D16" s="18"/>
      <c r="E16" s="19">
        <v>2.99</v>
      </c>
      <c r="F16" s="167" t="e">
        <f>'Simulasi Pengelola'!E58</f>
        <v>#DIV/0!</v>
      </c>
      <c r="G16" s="18" t="e">
        <f t="shared" si="0"/>
        <v>#DIV/0!</v>
      </c>
    </row>
    <row r="17" spans="1:9" ht="15.75" thickBot="1" x14ac:dyDescent="0.3">
      <c r="A17" s="20">
        <v>14</v>
      </c>
      <c r="B17" s="16" t="s">
        <v>260</v>
      </c>
      <c r="C17" s="17" t="s">
        <v>261</v>
      </c>
      <c r="D17" s="18"/>
      <c r="E17" s="19">
        <v>2.99</v>
      </c>
      <c r="F17" s="167" t="e">
        <f>'Simulasi Pengelola'!E64</f>
        <v>#DIV/0!</v>
      </c>
      <c r="G17" s="18" t="e">
        <f t="shared" si="0"/>
        <v>#DIV/0!</v>
      </c>
    </row>
    <row r="18" spans="1:9" ht="39" thickBot="1" x14ac:dyDescent="0.3">
      <c r="A18" s="20">
        <v>15</v>
      </c>
      <c r="B18" s="16" t="s">
        <v>76</v>
      </c>
      <c r="C18" s="22" t="s">
        <v>262</v>
      </c>
      <c r="D18" s="18"/>
      <c r="E18" s="19">
        <v>2.99</v>
      </c>
      <c r="F18" s="167">
        <f>'Simulasi Pengelola'!E67</f>
        <v>0</v>
      </c>
      <c r="G18" s="18">
        <f t="shared" si="0"/>
        <v>0</v>
      </c>
    </row>
    <row r="19" spans="1:9" ht="39" thickBot="1" x14ac:dyDescent="0.3">
      <c r="A19" s="20">
        <v>16</v>
      </c>
      <c r="B19" s="16" t="s">
        <v>263</v>
      </c>
      <c r="C19" s="22" t="s">
        <v>264</v>
      </c>
      <c r="D19" s="18"/>
      <c r="E19" s="19">
        <v>4.34</v>
      </c>
      <c r="F19" s="167" t="str">
        <f>'Simulasi Pengelola'!E71</f>
        <v>Salah Isi</v>
      </c>
      <c r="G19" s="18" t="e">
        <f t="shared" si="0"/>
        <v>#VALUE!</v>
      </c>
    </row>
    <row r="20" spans="1:9" ht="15.75" thickBot="1" x14ac:dyDescent="0.3">
      <c r="A20" s="20">
        <v>17</v>
      </c>
      <c r="B20" s="16" t="s">
        <v>265</v>
      </c>
      <c r="C20" s="22" t="s">
        <v>266</v>
      </c>
      <c r="D20" s="18"/>
      <c r="E20" s="19">
        <v>2.17</v>
      </c>
      <c r="F20" s="167" t="e">
        <f>'Simulasi Pengelola'!E83</f>
        <v>#DIV/0!</v>
      </c>
      <c r="G20" s="18" t="e">
        <f t="shared" si="0"/>
        <v>#DIV/0!</v>
      </c>
      <c r="I20" s="27"/>
    </row>
    <row r="21" spans="1:9" ht="39" thickBot="1" x14ac:dyDescent="0.3">
      <c r="A21" s="20">
        <v>18</v>
      </c>
      <c r="B21" s="16" t="s">
        <v>267</v>
      </c>
      <c r="C21" s="22" t="s">
        <v>268</v>
      </c>
      <c r="D21" s="18"/>
      <c r="E21" s="19">
        <v>2.17</v>
      </c>
      <c r="F21" s="167" t="e">
        <f>'Simulasi Pengelola'!E86</f>
        <v>#DIV/0!</v>
      </c>
      <c r="G21" s="18" t="e">
        <f t="shared" si="0"/>
        <v>#DIV/0!</v>
      </c>
    </row>
    <row r="22" spans="1:9" ht="26.25" thickBot="1" x14ac:dyDescent="0.3">
      <c r="A22" s="20">
        <v>19</v>
      </c>
      <c r="B22" s="16">
        <v>4.2</v>
      </c>
      <c r="C22" s="22" t="s">
        <v>269</v>
      </c>
      <c r="D22" s="18"/>
      <c r="E22" s="19">
        <v>3.26</v>
      </c>
      <c r="F22" s="167" t="str">
        <f>'Simulasi Pengelola'!E89</f>
        <v>Salah Isi</v>
      </c>
      <c r="G22" s="18" t="e">
        <f t="shared" si="0"/>
        <v>#VALUE!</v>
      </c>
    </row>
    <row r="23" spans="1:9" ht="77.25" thickBot="1" x14ac:dyDescent="0.3">
      <c r="A23" s="20">
        <v>20</v>
      </c>
      <c r="B23" s="16">
        <v>5.0999999999999996</v>
      </c>
      <c r="C23" s="17" t="s">
        <v>270</v>
      </c>
      <c r="D23" s="18"/>
      <c r="E23" s="19">
        <v>1.99</v>
      </c>
      <c r="F23" s="167">
        <f>'Simulasi Pengelola'!E92</f>
        <v>0</v>
      </c>
      <c r="G23" s="18">
        <f t="shared" si="0"/>
        <v>0</v>
      </c>
    </row>
    <row r="24" spans="1:9" ht="51.75" thickBot="1" x14ac:dyDescent="0.3">
      <c r="A24" s="20">
        <v>21</v>
      </c>
      <c r="B24" s="16">
        <v>5.2</v>
      </c>
      <c r="C24" s="17" t="s">
        <v>271</v>
      </c>
      <c r="D24" s="18"/>
      <c r="E24" s="19">
        <v>1.99</v>
      </c>
      <c r="F24" s="167">
        <f>'Simulasi Pengelola'!E95</f>
        <v>0</v>
      </c>
      <c r="G24" s="18">
        <f t="shared" si="0"/>
        <v>0</v>
      </c>
    </row>
    <row r="25" spans="1:9" ht="39" thickBot="1" x14ac:dyDescent="0.3">
      <c r="A25" s="20">
        <v>22</v>
      </c>
      <c r="B25" s="16">
        <v>5.3</v>
      </c>
      <c r="C25" s="17" t="s">
        <v>272</v>
      </c>
      <c r="D25" s="18"/>
      <c r="E25" s="19">
        <v>1.99</v>
      </c>
      <c r="F25" s="41" t="str">
        <f>'Simulasi Pengelola'!E103</f>
        <v>Salah Isi</v>
      </c>
      <c r="G25" s="18" t="e">
        <f t="shared" si="0"/>
        <v>#VALUE!</v>
      </c>
    </row>
    <row r="26" spans="1:9" ht="39" thickBot="1" x14ac:dyDescent="0.3">
      <c r="A26" s="20">
        <v>23</v>
      </c>
      <c r="B26" s="16" t="s">
        <v>273</v>
      </c>
      <c r="C26" s="22" t="s">
        <v>274</v>
      </c>
      <c r="D26" s="18"/>
      <c r="E26" s="19">
        <v>2.06</v>
      </c>
      <c r="F26" s="167" t="e">
        <f>'Simulasi Pengelola'!E109</f>
        <v>#DIV/0!</v>
      </c>
      <c r="G26" s="18" t="e">
        <f t="shared" si="0"/>
        <v>#DIV/0!</v>
      </c>
    </row>
    <row r="27" spans="1:9" ht="26.25" thickBot="1" x14ac:dyDescent="0.3">
      <c r="A27" s="20">
        <v>24</v>
      </c>
      <c r="B27" s="16" t="s">
        <v>275</v>
      </c>
      <c r="C27" s="22" t="s">
        <v>276</v>
      </c>
      <c r="D27" s="18"/>
      <c r="E27" s="19">
        <v>3.09</v>
      </c>
      <c r="F27" s="167">
        <f>'Simulasi Pengelola'!E113</f>
        <v>0</v>
      </c>
      <c r="G27" s="18">
        <f t="shared" si="0"/>
        <v>0</v>
      </c>
    </row>
    <row r="28" spans="1:9" ht="15.75" thickBot="1" x14ac:dyDescent="0.3">
      <c r="A28" s="20">
        <v>25</v>
      </c>
      <c r="B28" s="16" t="s">
        <v>277</v>
      </c>
      <c r="C28" s="22" t="s">
        <v>278</v>
      </c>
      <c r="D28" s="18"/>
      <c r="E28" s="19">
        <v>2.06</v>
      </c>
      <c r="F28" s="167">
        <f>'Simulasi Pengelola'!E117</f>
        <v>0</v>
      </c>
      <c r="G28" s="18">
        <f t="shared" si="0"/>
        <v>0</v>
      </c>
    </row>
    <row r="29" spans="1:9" ht="39" thickBot="1" x14ac:dyDescent="0.3">
      <c r="A29" s="20">
        <v>26</v>
      </c>
      <c r="B29" s="16" t="s">
        <v>279</v>
      </c>
      <c r="C29" s="22" t="s">
        <v>280</v>
      </c>
      <c r="D29" s="18"/>
      <c r="E29" s="19">
        <v>2.06</v>
      </c>
      <c r="F29" s="167">
        <f>'Simulasi Pengelola'!E121</f>
        <v>0</v>
      </c>
      <c r="G29" s="18">
        <f t="shared" si="0"/>
        <v>0</v>
      </c>
    </row>
    <row r="30" spans="1:9" ht="26.25" thickBot="1" x14ac:dyDescent="0.3">
      <c r="A30" s="20">
        <v>27</v>
      </c>
      <c r="B30" s="16" t="s">
        <v>281</v>
      </c>
      <c r="C30" s="22" t="s">
        <v>282</v>
      </c>
      <c r="D30" s="18"/>
      <c r="E30" s="19">
        <v>1.03</v>
      </c>
      <c r="F30" s="167" t="str">
        <f>'Simulasi Pengelola'!E124</f>
        <v>Salah Isi</v>
      </c>
      <c r="G30" s="18" t="e">
        <f t="shared" si="0"/>
        <v>#VALUE!</v>
      </c>
    </row>
    <row r="31" spans="1:9" ht="15.75" thickBot="1" x14ac:dyDescent="0.3">
      <c r="A31" s="20">
        <v>28</v>
      </c>
      <c r="B31" s="16" t="s">
        <v>283</v>
      </c>
      <c r="C31" s="17" t="s">
        <v>284</v>
      </c>
      <c r="D31" s="18"/>
      <c r="E31" s="19">
        <v>1.03</v>
      </c>
      <c r="F31" s="167">
        <f>'Simulasi Pengelola'!E127</f>
        <v>0</v>
      </c>
      <c r="G31" s="18">
        <f t="shared" si="0"/>
        <v>0</v>
      </c>
    </row>
    <row r="32" spans="1:9" ht="39" thickBot="1" x14ac:dyDescent="0.3">
      <c r="A32" s="20">
        <v>29</v>
      </c>
      <c r="B32" s="16" t="s">
        <v>285</v>
      </c>
      <c r="C32" s="22" t="s">
        <v>286</v>
      </c>
      <c r="D32" s="18"/>
      <c r="E32" s="19">
        <v>2.06</v>
      </c>
      <c r="F32" s="167">
        <f>'Simulasi Pengelola'!E130</f>
        <v>0</v>
      </c>
      <c r="G32" s="18">
        <f t="shared" si="0"/>
        <v>0</v>
      </c>
    </row>
    <row r="33" spans="1:7" ht="26.25" thickBot="1" x14ac:dyDescent="0.3">
      <c r="A33" s="20">
        <v>30</v>
      </c>
      <c r="B33" s="16" t="s">
        <v>196</v>
      </c>
      <c r="C33" s="22" t="s">
        <v>287</v>
      </c>
      <c r="D33" s="18"/>
      <c r="E33" s="19">
        <v>1.03</v>
      </c>
      <c r="F33" s="167">
        <f>'Simulasi Pengelola'!E133</f>
        <v>0</v>
      </c>
      <c r="G33" s="18">
        <f t="shared" si="0"/>
        <v>0</v>
      </c>
    </row>
    <row r="34" spans="1:7" ht="39" thickBot="1" x14ac:dyDescent="0.3">
      <c r="A34" s="20">
        <v>31</v>
      </c>
      <c r="B34" s="16" t="s">
        <v>200</v>
      </c>
      <c r="C34" s="17" t="s">
        <v>288</v>
      </c>
      <c r="D34" s="18"/>
      <c r="E34" s="19">
        <v>3.09</v>
      </c>
      <c r="F34" s="167" t="str">
        <f>'Simulasi Pengelola'!E136</f>
        <v>Salah Isi</v>
      </c>
      <c r="G34" s="18" t="e">
        <f t="shared" si="0"/>
        <v>#VALUE!</v>
      </c>
    </row>
    <row r="35" spans="1:7" ht="26.25" thickBot="1" x14ac:dyDescent="0.3">
      <c r="A35" s="20">
        <v>32</v>
      </c>
      <c r="B35" s="16" t="s">
        <v>202</v>
      </c>
      <c r="C35" s="22" t="s">
        <v>289</v>
      </c>
      <c r="D35" s="18"/>
      <c r="E35" s="19">
        <v>1.03</v>
      </c>
      <c r="F35" s="167">
        <f>'Simulasi Pengelola'!E139</f>
        <v>0</v>
      </c>
      <c r="G35" s="18">
        <f t="shared" si="0"/>
        <v>0</v>
      </c>
    </row>
    <row r="36" spans="1:7" ht="39" thickBot="1" x14ac:dyDescent="0.3">
      <c r="A36" s="20">
        <v>33</v>
      </c>
      <c r="B36" s="16" t="s">
        <v>206</v>
      </c>
      <c r="C36" s="17" t="s">
        <v>290</v>
      </c>
      <c r="D36" s="18"/>
      <c r="E36" s="19">
        <v>2.06</v>
      </c>
      <c r="F36" s="167">
        <f>'Simulasi Pengelola'!E142</f>
        <v>0</v>
      </c>
      <c r="G36" s="18">
        <f t="shared" si="0"/>
        <v>0</v>
      </c>
    </row>
    <row r="37" spans="1:7" ht="51.75" thickBot="1" x14ac:dyDescent="0.3">
      <c r="A37" s="20">
        <v>34</v>
      </c>
      <c r="B37" s="16" t="s">
        <v>208</v>
      </c>
      <c r="C37" s="17" t="s">
        <v>291</v>
      </c>
      <c r="D37" s="18"/>
      <c r="E37" s="19">
        <v>3.09</v>
      </c>
      <c r="F37" s="167" t="str">
        <f>'Simulasi Pengelola'!E145</f>
        <v>Salah Isi</v>
      </c>
      <c r="G37" s="18" t="e">
        <f t="shared" si="0"/>
        <v>#VALUE!</v>
      </c>
    </row>
    <row r="38" spans="1:7" ht="64.5" thickBot="1" x14ac:dyDescent="0.3">
      <c r="A38" s="20">
        <v>35</v>
      </c>
      <c r="B38" s="16" t="s">
        <v>210</v>
      </c>
      <c r="C38" s="17" t="s">
        <v>292</v>
      </c>
      <c r="D38" s="18"/>
      <c r="E38" s="19">
        <v>2.06</v>
      </c>
      <c r="F38" s="167">
        <f>'Simulasi Pengelola'!E148</f>
        <v>0</v>
      </c>
      <c r="G38" s="18">
        <f t="shared" si="0"/>
        <v>0</v>
      </c>
    </row>
    <row r="39" spans="1:7" ht="26.25" thickBot="1" x14ac:dyDescent="0.3">
      <c r="A39" s="20">
        <v>36</v>
      </c>
      <c r="B39" s="16" t="s">
        <v>218</v>
      </c>
      <c r="C39" s="22" t="s">
        <v>293</v>
      </c>
      <c r="D39" s="18"/>
      <c r="E39" s="19">
        <v>2.06</v>
      </c>
      <c r="F39" s="167">
        <f>'Simulasi Pengelola'!E156</f>
        <v>0</v>
      </c>
      <c r="G39" s="18">
        <f t="shared" si="0"/>
        <v>0</v>
      </c>
    </row>
    <row r="40" spans="1:7" ht="51.75" thickBot="1" x14ac:dyDescent="0.3">
      <c r="A40" s="20">
        <v>37</v>
      </c>
      <c r="B40" s="16" t="s">
        <v>220</v>
      </c>
      <c r="C40" s="22" t="s">
        <v>294</v>
      </c>
      <c r="D40" s="18"/>
      <c r="E40" s="19">
        <v>1.03</v>
      </c>
      <c r="F40" s="167" t="str">
        <f>'Simulasi Pengelola'!E160</f>
        <v>Salah Isi</v>
      </c>
      <c r="G40" s="18" t="e">
        <f t="shared" si="0"/>
        <v>#VALUE!</v>
      </c>
    </row>
    <row r="41" spans="1:7" ht="77.25" thickBot="1" x14ac:dyDescent="0.3">
      <c r="A41" s="20">
        <v>38</v>
      </c>
      <c r="B41" s="16" t="s">
        <v>295</v>
      </c>
      <c r="C41" s="22" t="s">
        <v>296</v>
      </c>
      <c r="D41" s="18"/>
      <c r="E41" s="19">
        <v>1.03</v>
      </c>
      <c r="F41" s="167">
        <f>'Simulasi Pengelola'!E163</f>
        <v>0</v>
      </c>
      <c r="G41" s="18">
        <f t="shared" si="0"/>
        <v>0</v>
      </c>
    </row>
    <row r="42" spans="1:7" ht="26.25" thickBot="1" x14ac:dyDescent="0.3">
      <c r="A42" s="20">
        <v>39</v>
      </c>
      <c r="B42" s="16" t="s">
        <v>297</v>
      </c>
      <c r="C42" s="17" t="s">
        <v>298</v>
      </c>
      <c r="D42" s="18"/>
      <c r="E42" s="19">
        <v>2.09</v>
      </c>
      <c r="F42" s="167" t="e">
        <f>'Simulasi Pengelola'!E169</f>
        <v>#DIV/0!</v>
      </c>
      <c r="G42" s="18" t="e">
        <f t="shared" si="0"/>
        <v>#DIV/0!</v>
      </c>
    </row>
    <row r="43" spans="1:7" ht="26.25" thickBot="1" x14ac:dyDescent="0.3">
      <c r="A43" s="20">
        <v>40</v>
      </c>
      <c r="B43" s="16" t="s">
        <v>299</v>
      </c>
      <c r="C43" s="22" t="s">
        <v>300</v>
      </c>
      <c r="D43" s="18"/>
      <c r="E43" s="19">
        <v>1.39</v>
      </c>
      <c r="F43" s="167" t="e">
        <f>'Simulasi Pengelola'!E175</f>
        <v>#DIV/0!</v>
      </c>
      <c r="G43" s="18" t="e">
        <f t="shared" si="0"/>
        <v>#DIV/0!</v>
      </c>
    </row>
    <row r="44" spans="1:7" ht="26.25" thickBot="1" x14ac:dyDescent="0.3">
      <c r="A44" s="20">
        <v>41</v>
      </c>
      <c r="B44" s="16" t="s">
        <v>228</v>
      </c>
      <c r="C44" s="22" t="s">
        <v>301</v>
      </c>
      <c r="D44" s="18"/>
      <c r="E44" s="19">
        <v>0.7</v>
      </c>
      <c r="F44" s="167">
        <f>'Simulasi Pengelola'!E183</f>
        <v>0</v>
      </c>
      <c r="G44" s="18">
        <f t="shared" si="0"/>
        <v>0</v>
      </c>
    </row>
    <row r="45" spans="1:7" ht="26.25" thickBot="1" x14ac:dyDescent="0.3">
      <c r="A45" s="20">
        <v>42</v>
      </c>
      <c r="B45" s="16" t="s">
        <v>302</v>
      </c>
      <c r="C45" s="22" t="s">
        <v>303</v>
      </c>
      <c r="D45" s="18"/>
      <c r="E45" s="19">
        <v>2.09</v>
      </c>
      <c r="F45" s="167" t="e">
        <f>'Simulasi Pengelola'!E190</f>
        <v>#DIV/0!</v>
      </c>
      <c r="G45" s="18" t="e">
        <f t="shared" si="0"/>
        <v>#DIV/0!</v>
      </c>
    </row>
    <row r="46" spans="1:7" ht="26.25" thickBot="1" x14ac:dyDescent="0.3">
      <c r="A46" s="20">
        <v>43</v>
      </c>
      <c r="B46" s="16" t="s">
        <v>304</v>
      </c>
      <c r="C46" s="22" t="s">
        <v>305</v>
      </c>
      <c r="D46" s="18"/>
      <c r="E46" s="19">
        <v>1.39</v>
      </c>
      <c r="F46" s="167" t="e">
        <f>'Simulasi Pengelola'!E197</f>
        <v>#DIV/0!</v>
      </c>
      <c r="G46" s="18" t="e">
        <f t="shared" si="0"/>
        <v>#DIV/0!</v>
      </c>
    </row>
    <row r="47" spans="1:7" ht="26.25" thickBot="1" x14ac:dyDescent="0.3">
      <c r="A47" s="20">
        <v>44</v>
      </c>
      <c r="B47" s="16" t="s">
        <v>234</v>
      </c>
      <c r="C47" s="22" t="s">
        <v>306</v>
      </c>
      <c r="D47" s="18"/>
      <c r="E47" s="19">
        <v>0.7</v>
      </c>
      <c r="F47" s="167">
        <f>'Simulasi Pengelola'!E205</f>
        <v>0</v>
      </c>
      <c r="G47" s="18">
        <f t="shared" si="0"/>
        <v>0</v>
      </c>
    </row>
    <row r="48" spans="1:7" ht="26.25" thickBot="1" x14ac:dyDescent="0.3">
      <c r="A48" s="20">
        <v>45</v>
      </c>
      <c r="B48" s="16" t="s">
        <v>236</v>
      </c>
      <c r="C48" s="22" t="s">
        <v>307</v>
      </c>
      <c r="D48" s="18"/>
      <c r="E48" s="19">
        <v>1.39</v>
      </c>
      <c r="F48" s="167">
        <f>'Simulasi Pengelola'!E213</f>
        <v>0</v>
      </c>
      <c r="G48" s="18">
        <f t="shared" si="0"/>
        <v>0</v>
      </c>
    </row>
    <row r="49" spans="1:7" ht="26.25" thickBot="1" x14ac:dyDescent="0.3">
      <c r="A49" s="20">
        <v>46</v>
      </c>
      <c r="B49" s="16" t="s">
        <v>238</v>
      </c>
      <c r="C49" s="22" t="s">
        <v>239</v>
      </c>
      <c r="D49" s="18"/>
      <c r="E49" s="19">
        <v>0.7</v>
      </c>
      <c r="F49" s="167">
        <f>'Simulasi Pengelola'!E221</f>
        <v>0</v>
      </c>
      <c r="G49" s="18">
        <f t="shared" si="0"/>
        <v>0</v>
      </c>
    </row>
    <row r="50" spans="1:7" ht="15.75" thickBot="1" x14ac:dyDescent="0.3">
      <c r="A50" s="25"/>
      <c r="B50" s="26"/>
      <c r="C50" s="24"/>
      <c r="D50" s="18"/>
      <c r="E50" s="19">
        <f>SUM(E4:E49)</f>
        <v>100.06000000000007</v>
      </c>
      <c r="F50" s="19"/>
      <c r="G50" s="19" t="e">
        <f>SUM(G4:G49)</f>
        <v>#VALUE!</v>
      </c>
    </row>
    <row r="51" spans="1:7" x14ac:dyDescent="0.25">
      <c r="A51" s="2" t="s">
        <v>240</v>
      </c>
    </row>
  </sheetData>
  <pageMargins left="0.7" right="0.7" top="0.75" bottom="0.75" header="0.3" footer="0.3"/>
  <pageSetup orientation="portrait" horizontalDpi="4294967292" verticalDpi="0"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255"/>
  <sheetViews>
    <sheetView workbookViewId="0">
      <selection activeCell="E9" sqref="E9"/>
    </sheetView>
  </sheetViews>
  <sheetFormatPr defaultRowHeight="15" x14ac:dyDescent="0.25"/>
  <cols>
    <col min="1" max="1" width="6.5703125" customWidth="1"/>
    <col min="2" max="2" width="8.42578125" customWidth="1"/>
    <col min="3" max="3" width="6.28515625" customWidth="1"/>
    <col min="4" max="4" width="51.5703125" customWidth="1"/>
    <col min="5" max="5" width="9.28515625" customWidth="1"/>
    <col min="6" max="6" width="6.42578125" customWidth="1"/>
    <col min="7" max="7" width="49.28515625" customWidth="1"/>
    <col min="257" max="257" width="6.5703125" customWidth="1"/>
    <col min="258" max="258" width="8.42578125" customWidth="1"/>
    <col min="259" max="259" width="6.28515625" customWidth="1"/>
    <col min="260" max="260" width="51.5703125" customWidth="1"/>
    <col min="261" max="261" width="9.28515625" customWidth="1"/>
    <col min="262" max="262" width="6.42578125" customWidth="1"/>
    <col min="263" max="263" width="49.28515625" customWidth="1"/>
    <col min="513" max="513" width="6.5703125" customWidth="1"/>
    <col min="514" max="514" width="8.42578125" customWidth="1"/>
    <col min="515" max="515" width="6.28515625" customWidth="1"/>
    <col min="516" max="516" width="51.5703125" customWidth="1"/>
    <col min="517" max="517" width="9.28515625" customWidth="1"/>
    <col min="518" max="518" width="6.42578125" customWidth="1"/>
    <col min="519" max="519" width="49.28515625" customWidth="1"/>
    <col min="769" max="769" width="6.5703125" customWidth="1"/>
    <col min="770" max="770" width="8.42578125" customWidth="1"/>
    <col min="771" max="771" width="6.28515625" customWidth="1"/>
    <col min="772" max="772" width="51.5703125" customWidth="1"/>
    <col min="773" max="773" width="9.28515625" customWidth="1"/>
    <col min="774" max="774" width="6.42578125" customWidth="1"/>
    <col min="775" max="775" width="49.28515625" customWidth="1"/>
    <col min="1025" max="1025" width="6.5703125" customWidth="1"/>
    <col min="1026" max="1026" width="8.42578125" customWidth="1"/>
    <col min="1027" max="1027" width="6.28515625" customWidth="1"/>
    <col min="1028" max="1028" width="51.5703125" customWidth="1"/>
    <col min="1029" max="1029" width="9.28515625" customWidth="1"/>
    <col min="1030" max="1030" width="6.42578125" customWidth="1"/>
    <col min="1031" max="1031" width="49.28515625" customWidth="1"/>
    <col min="1281" max="1281" width="6.5703125" customWidth="1"/>
    <col min="1282" max="1282" width="8.42578125" customWidth="1"/>
    <col min="1283" max="1283" width="6.28515625" customWidth="1"/>
    <col min="1284" max="1284" width="51.5703125" customWidth="1"/>
    <col min="1285" max="1285" width="9.28515625" customWidth="1"/>
    <col min="1286" max="1286" width="6.42578125" customWidth="1"/>
    <col min="1287" max="1287" width="49.28515625" customWidth="1"/>
    <col min="1537" max="1537" width="6.5703125" customWidth="1"/>
    <col min="1538" max="1538" width="8.42578125" customWidth="1"/>
    <col min="1539" max="1539" width="6.28515625" customWidth="1"/>
    <col min="1540" max="1540" width="51.5703125" customWidth="1"/>
    <col min="1541" max="1541" width="9.28515625" customWidth="1"/>
    <col min="1542" max="1542" width="6.42578125" customWidth="1"/>
    <col min="1543" max="1543" width="49.28515625" customWidth="1"/>
    <col min="1793" max="1793" width="6.5703125" customWidth="1"/>
    <col min="1794" max="1794" width="8.42578125" customWidth="1"/>
    <col min="1795" max="1795" width="6.28515625" customWidth="1"/>
    <col min="1796" max="1796" width="51.5703125" customWidth="1"/>
    <col min="1797" max="1797" width="9.28515625" customWidth="1"/>
    <col min="1798" max="1798" width="6.42578125" customWidth="1"/>
    <col min="1799" max="1799" width="49.28515625" customWidth="1"/>
    <col min="2049" max="2049" width="6.5703125" customWidth="1"/>
    <col min="2050" max="2050" width="8.42578125" customWidth="1"/>
    <col min="2051" max="2051" width="6.28515625" customWidth="1"/>
    <col min="2052" max="2052" width="51.5703125" customWidth="1"/>
    <col min="2053" max="2053" width="9.28515625" customWidth="1"/>
    <col min="2054" max="2054" width="6.42578125" customWidth="1"/>
    <col min="2055" max="2055" width="49.28515625" customWidth="1"/>
    <col min="2305" max="2305" width="6.5703125" customWidth="1"/>
    <col min="2306" max="2306" width="8.42578125" customWidth="1"/>
    <col min="2307" max="2307" width="6.28515625" customWidth="1"/>
    <col min="2308" max="2308" width="51.5703125" customWidth="1"/>
    <col min="2309" max="2309" width="9.28515625" customWidth="1"/>
    <col min="2310" max="2310" width="6.42578125" customWidth="1"/>
    <col min="2311" max="2311" width="49.28515625" customWidth="1"/>
    <col min="2561" max="2561" width="6.5703125" customWidth="1"/>
    <col min="2562" max="2562" width="8.42578125" customWidth="1"/>
    <col min="2563" max="2563" width="6.28515625" customWidth="1"/>
    <col min="2564" max="2564" width="51.5703125" customWidth="1"/>
    <col min="2565" max="2565" width="9.28515625" customWidth="1"/>
    <col min="2566" max="2566" width="6.42578125" customWidth="1"/>
    <col min="2567" max="2567" width="49.28515625" customWidth="1"/>
    <col min="2817" max="2817" width="6.5703125" customWidth="1"/>
    <col min="2818" max="2818" width="8.42578125" customWidth="1"/>
    <col min="2819" max="2819" width="6.28515625" customWidth="1"/>
    <col min="2820" max="2820" width="51.5703125" customWidth="1"/>
    <col min="2821" max="2821" width="9.28515625" customWidth="1"/>
    <col min="2822" max="2822" width="6.42578125" customWidth="1"/>
    <col min="2823" max="2823" width="49.28515625" customWidth="1"/>
    <col min="3073" max="3073" width="6.5703125" customWidth="1"/>
    <col min="3074" max="3074" width="8.42578125" customWidth="1"/>
    <col min="3075" max="3075" width="6.28515625" customWidth="1"/>
    <col min="3076" max="3076" width="51.5703125" customWidth="1"/>
    <col min="3077" max="3077" width="9.28515625" customWidth="1"/>
    <col min="3078" max="3078" width="6.42578125" customWidth="1"/>
    <col min="3079" max="3079" width="49.28515625" customWidth="1"/>
    <col min="3329" max="3329" width="6.5703125" customWidth="1"/>
    <col min="3330" max="3330" width="8.42578125" customWidth="1"/>
    <col min="3331" max="3331" width="6.28515625" customWidth="1"/>
    <col min="3332" max="3332" width="51.5703125" customWidth="1"/>
    <col min="3333" max="3333" width="9.28515625" customWidth="1"/>
    <col min="3334" max="3334" width="6.42578125" customWidth="1"/>
    <col min="3335" max="3335" width="49.28515625" customWidth="1"/>
    <col min="3585" max="3585" width="6.5703125" customWidth="1"/>
    <col min="3586" max="3586" width="8.42578125" customWidth="1"/>
    <col min="3587" max="3587" width="6.28515625" customWidth="1"/>
    <col min="3588" max="3588" width="51.5703125" customWidth="1"/>
    <col min="3589" max="3589" width="9.28515625" customWidth="1"/>
    <col min="3590" max="3590" width="6.42578125" customWidth="1"/>
    <col min="3591" max="3591" width="49.28515625" customWidth="1"/>
    <col min="3841" max="3841" width="6.5703125" customWidth="1"/>
    <col min="3842" max="3842" width="8.42578125" customWidth="1"/>
    <col min="3843" max="3843" width="6.28515625" customWidth="1"/>
    <col min="3844" max="3844" width="51.5703125" customWidth="1"/>
    <col min="3845" max="3845" width="9.28515625" customWidth="1"/>
    <col min="3846" max="3846" width="6.42578125" customWidth="1"/>
    <col min="3847" max="3847" width="49.28515625" customWidth="1"/>
    <col min="4097" max="4097" width="6.5703125" customWidth="1"/>
    <col min="4098" max="4098" width="8.42578125" customWidth="1"/>
    <col min="4099" max="4099" width="6.28515625" customWidth="1"/>
    <col min="4100" max="4100" width="51.5703125" customWidth="1"/>
    <col min="4101" max="4101" width="9.28515625" customWidth="1"/>
    <col min="4102" max="4102" width="6.42578125" customWidth="1"/>
    <col min="4103" max="4103" width="49.28515625" customWidth="1"/>
    <col min="4353" max="4353" width="6.5703125" customWidth="1"/>
    <col min="4354" max="4354" width="8.42578125" customWidth="1"/>
    <col min="4355" max="4355" width="6.28515625" customWidth="1"/>
    <col min="4356" max="4356" width="51.5703125" customWidth="1"/>
    <col min="4357" max="4357" width="9.28515625" customWidth="1"/>
    <col min="4358" max="4358" width="6.42578125" customWidth="1"/>
    <col min="4359" max="4359" width="49.28515625" customWidth="1"/>
    <col min="4609" max="4609" width="6.5703125" customWidth="1"/>
    <col min="4610" max="4610" width="8.42578125" customWidth="1"/>
    <col min="4611" max="4611" width="6.28515625" customWidth="1"/>
    <col min="4612" max="4612" width="51.5703125" customWidth="1"/>
    <col min="4613" max="4613" width="9.28515625" customWidth="1"/>
    <col min="4614" max="4614" width="6.42578125" customWidth="1"/>
    <col min="4615" max="4615" width="49.28515625" customWidth="1"/>
    <col min="4865" max="4865" width="6.5703125" customWidth="1"/>
    <col min="4866" max="4866" width="8.42578125" customWidth="1"/>
    <col min="4867" max="4867" width="6.28515625" customWidth="1"/>
    <col min="4868" max="4868" width="51.5703125" customWidth="1"/>
    <col min="4869" max="4869" width="9.28515625" customWidth="1"/>
    <col min="4870" max="4870" width="6.42578125" customWidth="1"/>
    <col min="4871" max="4871" width="49.28515625" customWidth="1"/>
    <col min="5121" max="5121" width="6.5703125" customWidth="1"/>
    <col min="5122" max="5122" width="8.42578125" customWidth="1"/>
    <col min="5123" max="5123" width="6.28515625" customWidth="1"/>
    <col min="5124" max="5124" width="51.5703125" customWidth="1"/>
    <col min="5125" max="5125" width="9.28515625" customWidth="1"/>
    <col min="5126" max="5126" width="6.42578125" customWidth="1"/>
    <col min="5127" max="5127" width="49.28515625" customWidth="1"/>
    <col min="5377" max="5377" width="6.5703125" customWidth="1"/>
    <col min="5378" max="5378" width="8.42578125" customWidth="1"/>
    <col min="5379" max="5379" width="6.28515625" customWidth="1"/>
    <col min="5380" max="5380" width="51.5703125" customWidth="1"/>
    <col min="5381" max="5381" width="9.28515625" customWidth="1"/>
    <col min="5382" max="5382" width="6.42578125" customWidth="1"/>
    <col min="5383" max="5383" width="49.28515625" customWidth="1"/>
    <col min="5633" max="5633" width="6.5703125" customWidth="1"/>
    <col min="5634" max="5634" width="8.42578125" customWidth="1"/>
    <col min="5635" max="5635" width="6.28515625" customWidth="1"/>
    <col min="5636" max="5636" width="51.5703125" customWidth="1"/>
    <col min="5637" max="5637" width="9.28515625" customWidth="1"/>
    <col min="5638" max="5638" width="6.42578125" customWidth="1"/>
    <col min="5639" max="5639" width="49.28515625" customWidth="1"/>
    <col min="5889" max="5889" width="6.5703125" customWidth="1"/>
    <col min="5890" max="5890" width="8.42578125" customWidth="1"/>
    <col min="5891" max="5891" width="6.28515625" customWidth="1"/>
    <col min="5892" max="5892" width="51.5703125" customWidth="1"/>
    <col min="5893" max="5893" width="9.28515625" customWidth="1"/>
    <col min="5894" max="5894" width="6.42578125" customWidth="1"/>
    <col min="5895" max="5895" width="49.28515625" customWidth="1"/>
    <col min="6145" max="6145" width="6.5703125" customWidth="1"/>
    <col min="6146" max="6146" width="8.42578125" customWidth="1"/>
    <col min="6147" max="6147" width="6.28515625" customWidth="1"/>
    <col min="6148" max="6148" width="51.5703125" customWidth="1"/>
    <col min="6149" max="6149" width="9.28515625" customWidth="1"/>
    <col min="6150" max="6150" width="6.42578125" customWidth="1"/>
    <col min="6151" max="6151" width="49.28515625" customWidth="1"/>
    <col min="6401" max="6401" width="6.5703125" customWidth="1"/>
    <col min="6402" max="6402" width="8.42578125" customWidth="1"/>
    <col min="6403" max="6403" width="6.28515625" customWidth="1"/>
    <col min="6404" max="6404" width="51.5703125" customWidth="1"/>
    <col min="6405" max="6405" width="9.28515625" customWidth="1"/>
    <col min="6406" max="6406" width="6.42578125" customWidth="1"/>
    <col min="6407" max="6407" width="49.28515625" customWidth="1"/>
    <col min="6657" max="6657" width="6.5703125" customWidth="1"/>
    <col min="6658" max="6658" width="8.42578125" customWidth="1"/>
    <col min="6659" max="6659" width="6.28515625" customWidth="1"/>
    <col min="6660" max="6660" width="51.5703125" customWidth="1"/>
    <col min="6661" max="6661" width="9.28515625" customWidth="1"/>
    <col min="6662" max="6662" width="6.42578125" customWidth="1"/>
    <col min="6663" max="6663" width="49.28515625" customWidth="1"/>
    <col min="6913" max="6913" width="6.5703125" customWidth="1"/>
    <col min="6914" max="6914" width="8.42578125" customWidth="1"/>
    <col min="6915" max="6915" width="6.28515625" customWidth="1"/>
    <col min="6916" max="6916" width="51.5703125" customWidth="1"/>
    <col min="6917" max="6917" width="9.28515625" customWidth="1"/>
    <col min="6918" max="6918" width="6.42578125" customWidth="1"/>
    <col min="6919" max="6919" width="49.28515625" customWidth="1"/>
    <col min="7169" max="7169" width="6.5703125" customWidth="1"/>
    <col min="7170" max="7170" width="8.42578125" customWidth="1"/>
    <col min="7171" max="7171" width="6.28515625" customWidth="1"/>
    <col min="7172" max="7172" width="51.5703125" customWidth="1"/>
    <col min="7173" max="7173" width="9.28515625" customWidth="1"/>
    <col min="7174" max="7174" width="6.42578125" customWidth="1"/>
    <col min="7175" max="7175" width="49.28515625" customWidth="1"/>
    <col min="7425" max="7425" width="6.5703125" customWidth="1"/>
    <col min="7426" max="7426" width="8.42578125" customWidth="1"/>
    <col min="7427" max="7427" width="6.28515625" customWidth="1"/>
    <col min="7428" max="7428" width="51.5703125" customWidth="1"/>
    <col min="7429" max="7429" width="9.28515625" customWidth="1"/>
    <col min="7430" max="7430" width="6.42578125" customWidth="1"/>
    <col min="7431" max="7431" width="49.28515625" customWidth="1"/>
    <col min="7681" max="7681" width="6.5703125" customWidth="1"/>
    <col min="7682" max="7682" width="8.42578125" customWidth="1"/>
    <col min="7683" max="7683" width="6.28515625" customWidth="1"/>
    <col min="7684" max="7684" width="51.5703125" customWidth="1"/>
    <col min="7685" max="7685" width="9.28515625" customWidth="1"/>
    <col min="7686" max="7686" width="6.42578125" customWidth="1"/>
    <col min="7687" max="7687" width="49.28515625" customWidth="1"/>
    <col min="7937" max="7937" width="6.5703125" customWidth="1"/>
    <col min="7938" max="7938" width="8.42578125" customWidth="1"/>
    <col min="7939" max="7939" width="6.28515625" customWidth="1"/>
    <col min="7940" max="7940" width="51.5703125" customWidth="1"/>
    <col min="7941" max="7941" width="9.28515625" customWidth="1"/>
    <col min="7942" max="7942" width="6.42578125" customWidth="1"/>
    <col min="7943" max="7943" width="49.28515625" customWidth="1"/>
    <col min="8193" max="8193" width="6.5703125" customWidth="1"/>
    <col min="8194" max="8194" width="8.42578125" customWidth="1"/>
    <col min="8195" max="8195" width="6.28515625" customWidth="1"/>
    <col min="8196" max="8196" width="51.5703125" customWidth="1"/>
    <col min="8197" max="8197" width="9.28515625" customWidth="1"/>
    <col min="8198" max="8198" width="6.42578125" customWidth="1"/>
    <col min="8199" max="8199" width="49.28515625" customWidth="1"/>
    <col min="8449" max="8449" width="6.5703125" customWidth="1"/>
    <col min="8450" max="8450" width="8.42578125" customWidth="1"/>
    <col min="8451" max="8451" width="6.28515625" customWidth="1"/>
    <col min="8452" max="8452" width="51.5703125" customWidth="1"/>
    <col min="8453" max="8453" width="9.28515625" customWidth="1"/>
    <col min="8454" max="8454" width="6.42578125" customWidth="1"/>
    <col min="8455" max="8455" width="49.28515625" customWidth="1"/>
    <col min="8705" max="8705" width="6.5703125" customWidth="1"/>
    <col min="8706" max="8706" width="8.42578125" customWidth="1"/>
    <col min="8707" max="8707" width="6.28515625" customWidth="1"/>
    <col min="8708" max="8708" width="51.5703125" customWidth="1"/>
    <col min="8709" max="8709" width="9.28515625" customWidth="1"/>
    <col min="8710" max="8710" width="6.42578125" customWidth="1"/>
    <col min="8711" max="8711" width="49.28515625" customWidth="1"/>
    <col min="8961" max="8961" width="6.5703125" customWidth="1"/>
    <col min="8962" max="8962" width="8.42578125" customWidth="1"/>
    <col min="8963" max="8963" width="6.28515625" customWidth="1"/>
    <col min="8964" max="8964" width="51.5703125" customWidth="1"/>
    <col min="8965" max="8965" width="9.28515625" customWidth="1"/>
    <col min="8966" max="8966" width="6.42578125" customWidth="1"/>
    <col min="8967" max="8967" width="49.28515625" customWidth="1"/>
    <col min="9217" max="9217" width="6.5703125" customWidth="1"/>
    <col min="9218" max="9218" width="8.42578125" customWidth="1"/>
    <col min="9219" max="9219" width="6.28515625" customWidth="1"/>
    <col min="9220" max="9220" width="51.5703125" customWidth="1"/>
    <col min="9221" max="9221" width="9.28515625" customWidth="1"/>
    <col min="9222" max="9222" width="6.42578125" customWidth="1"/>
    <col min="9223" max="9223" width="49.28515625" customWidth="1"/>
    <col min="9473" max="9473" width="6.5703125" customWidth="1"/>
    <col min="9474" max="9474" width="8.42578125" customWidth="1"/>
    <col min="9475" max="9475" width="6.28515625" customWidth="1"/>
    <col min="9476" max="9476" width="51.5703125" customWidth="1"/>
    <col min="9477" max="9477" width="9.28515625" customWidth="1"/>
    <col min="9478" max="9478" width="6.42578125" customWidth="1"/>
    <col min="9479" max="9479" width="49.28515625" customWidth="1"/>
    <col min="9729" max="9729" width="6.5703125" customWidth="1"/>
    <col min="9730" max="9730" width="8.42578125" customWidth="1"/>
    <col min="9731" max="9731" width="6.28515625" customWidth="1"/>
    <col min="9732" max="9732" width="51.5703125" customWidth="1"/>
    <col min="9733" max="9733" width="9.28515625" customWidth="1"/>
    <col min="9734" max="9734" width="6.42578125" customWidth="1"/>
    <col min="9735" max="9735" width="49.28515625" customWidth="1"/>
    <col min="9985" max="9985" width="6.5703125" customWidth="1"/>
    <col min="9986" max="9986" width="8.42578125" customWidth="1"/>
    <col min="9987" max="9987" width="6.28515625" customWidth="1"/>
    <col min="9988" max="9988" width="51.5703125" customWidth="1"/>
    <col min="9989" max="9989" width="9.28515625" customWidth="1"/>
    <col min="9990" max="9990" width="6.42578125" customWidth="1"/>
    <col min="9991" max="9991" width="49.28515625" customWidth="1"/>
    <col min="10241" max="10241" width="6.5703125" customWidth="1"/>
    <col min="10242" max="10242" width="8.42578125" customWidth="1"/>
    <col min="10243" max="10243" width="6.28515625" customWidth="1"/>
    <col min="10244" max="10244" width="51.5703125" customWidth="1"/>
    <col min="10245" max="10245" width="9.28515625" customWidth="1"/>
    <col min="10246" max="10246" width="6.42578125" customWidth="1"/>
    <col min="10247" max="10247" width="49.28515625" customWidth="1"/>
    <col min="10497" max="10497" width="6.5703125" customWidth="1"/>
    <col min="10498" max="10498" width="8.42578125" customWidth="1"/>
    <col min="10499" max="10499" width="6.28515625" customWidth="1"/>
    <col min="10500" max="10500" width="51.5703125" customWidth="1"/>
    <col min="10501" max="10501" width="9.28515625" customWidth="1"/>
    <col min="10502" max="10502" width="6.42578125" customWidth="1"/>
    <col min="10503" max="10503" width="49.28515625" customWidth="1"/>
    <col min="10753" max="10753" width="6.5703125" customWidth="1"/>
    <col min="10754" max="10754" width="8.42578125" customWidth="1"/>
    <col min="10755" max="10755" width="6.28515625" customWidth="1"/>
    <col min="10756" max="10756" width="51.5703125" customWidth="1"/>
    <col min="10757" max="10757" width="9.28515625" customWidth="1"/>
    <col min="10758" max="10758" width="6.42578125" customWidth="1"/>
    <col min="10759" max="10759" width="49.28515625" customWidth="1"/>
    <col min="11009" max="11009" width="6.5703125" customWidth="1"/>
    <col min="11010" max="11010" width="8.42578125" customWidth="1"/>
    <col min="11011" max="11011" width="6.28515625" customWidth="1"/>
    <col min="11012" max="11012" width="51.5703125" customWidth="1"/>
    <col min="11013" max="11013" width="9.28515625" customWidth="1"/>
    <col min="11014" max="11014" width="6.42578125" customWidth="1"/>
    <col min="11015" max="11015" width="49.28515625" customWidth="1"/>
    <col min="11265" max="11265" width="6.5703125" customWidth="1"/>
    <col min="11266" max="11266" width="8.42578125" customWidth="1"/>
    <col min="11267" max="11267" width="6.28515625" customWidth="1"/>
    <col min="11268" max="11268" width="51.5703125" customWidth="1"/>
    <col min="11269" max="11269" width="9.28515625" customWidth="1"/>
    <col min="11270" max="11270" width="6.42578125" customWidth="1"/>
    <col min="11271" max="11271" width="49.28515625" customWidth="1"/>
    <col min="11521" max="11521" width="6.5703125" customWidth="1"/>
    <col min="11522" max="11522" width="8.42578125" customWidth="1"/>
    <col min="11523" max="11523" width="6.28515625" customWidth="1"/>
    <col min="11524" max="11524" width="51.5703125" customWidth="1"/>
    <col min="11525" max="11525" width="9.28515625" customWidth="1"/>
    <col min="11526" max="11526" width="6.42578125" customWidth="1"/>
    <col min="11527" max="11527" width="49.28515625" customWidth="1"/>
    <col min="11777" max="11777" width="6.5703125" customWidth="1"/>
    <col min="11778" max="11778" width="8.42578125" customWidth="1"/>
    <col min="11779" max="11779" width="6.28515625" customWidth="1"/>
    <col min="11780" max="11780" width="51.5703125" customWidth="1"/>
    <col min="11781" max="11781" width="9.28515625" customWidth="1"/>
    <col min="11782" max="11782" width="6.42578125" customWidth="1"/>
    <col min="11783" max="11783" width="49.28515625" customWidth="1"/>
    <col min="12033" max="12033" width="6.5703125" customWidth="1"/>
    <col min="12034" max="12034" width="8.42578125" customWidth="1"/>
    <col min="12035" max="12035" width="6.28515625" customWidth="1"/>
    <col min="12036" max="12036" width="51.5703125" customWidth="1"/>
    <col min="12037" max="12037" width="9.28515625" customWidth="1"/>
    <col min="12038" max="12038" width="6.42578125" customWidth="1"/>
    <col min="12039" max="12039" width="49.28515625" customWidth="1"/>
    <col min="12289" max="12289" width="6.5703125" customWidth="1"/>
    <col min="12290" max="12290" width="8.42578125" customWidth="1"/>
    <col min="12291" max="12291" width="6.28515625" customWidth="1"/>
    <col min="12292" max="12292" width="51.5703125" customWidth="1"/>
    <col min="12293" max="12293" width="9.28515625" customWidth="1"/>
    <col min="12294" max="12294" width="6.42578125" customWidth="1"/>
    <col min="12295" max="12295" width="49.28515625" customWidth="1"/>
    <col min="12545" max="12545" width="6.5703125" customWidth="1"/>
    <col min="12546" max="12546" width="8.42578125" customWidth="1"/>
    <col min="12547" max="12547" width="6.28515625" customWidth="1"/>
    <col min="12548" max="12548" width="51.5703125" customWidth="1"/>
    <col min="12549" max="12549" width="9.28515625" customWidth="1"/>
    <col min="12550" max="12550" width="6.42578125" customWidth="1"/>
    <col min="12551" max="12551" width="49.28515625" customWidth="1"/>
    <col min="12801" max="12801" width="6.5703125" customWidth="1"/>
    <col min="12802" max="12802" width="8.42578125" customWidth="1"/>
    <col min="12803" max="12803" width="6.28515625" customWidth="1"/>
    <col min="12804" max="12804" width="51.5703125" customWidth="1"/>
    <col min="12805" max="12805" width="9.28515625" customWidth="1"/>
    <col min="12806" max="12806" width="6.42578125" customWidth="1"/>
    <col min="12807" max="12807" width="49.28515625" customWidth="1"/>
    <col min="13057" max="13057" width="6.5703125" customWidth="1"/>
    <col min="13058" max="13058" width="8.42578125" customWidth="1"/>
    <col min="13059" max="13059" width="6.28515625" customWidth="1"/>
    <col min="13060" max="13060" width="51.5703125" customWidth="1"/>
    <col min="13061" max="13061" width="9.28515625" customWidth="1"/>
    <col min="13062" max="13062" width="6.42578125" customWidth="1"/>
    <col min="13063" max="13063" width="49.28515625" customWidth="1"/>
    <col min="13313" max="13313" width="6.5703125" customWidth="1"/>
    <col min="13314" max="13314" width="8.42578125" customWidth="1"/>
    <col min="13315" max="13315" width="6.28515625" customWidth="1"/>
    <col min="13316" max="13316" width="51.5703125" customWidth="1"/>
    <col min="13317" max="13317" width="9.28515625" customWidth="1"/>
    <col min="13318" max="13318" width="6.42578125" customWidth="1"/>
    <col min="13319" max="13319" width="49.28515625" customWidth="1"/>
    <col min="13569" max="13569" width="6.5703125" customWidth="1"/>
    <col min="13570" max="13570" width="8.42578125" customWidth="1"/>
    <col min="13571" max="13571" width="6.28515625" customWidth="1"/>
    <col min="13572" max="13572" width="51.5703125" customWidth="1"/>
    <col min="13573" max="13573" width="9.28515625" customWidth="1"/>
    <col min="13574" max="13574" width="6.42578125" customWidth="1"/>
    <col min="13575" max="13575" width="49.28515625" customWidth="1"/>
    <col min="13825" max="13825" width="6.5703125" customWidth="1"/>
    <col min="13826" max="13826" width="8.42578125" customWidth="1"/>
    <col min="13827" max="13827" width="6.28515625" customWidth="1"/>
    <col min="13828" max="13828" width="51.5703125" customWidth="1"/>
    <col min="13829" max="13829" width="9.28515625" customWidth="1"/>
    <col min="13830" max="13830" width="6.42578125" customWidth="1"/>
    <col min="13831" max="13831" width="49.28515625" customWidth="1"/>
    <col min="14081" max="14081" width="6.5703125" customWidth="1"/>
    <col min="14082" max="14082" width="8.42578125" customWidth="1"/>
    <col min="14083" max="14083" width="6.28515625" customWidth="1"/>
    <col min="14084" max="14084" width="51.5703125" customWidth="1"/>
    <col min="14085" max="14085" width="9.28515625" customWidth="1"/>
    <col min="14086" max="14086" width="6.42578125" customWidth="1"/>
    <col min="14087" max="14087" width="49.28515625" customWidth="1"/>
    <col min="14337" max="14337" width="6.5703125" customWidth="1"/>
    <col min="14338" max="14338" width="8.42578125" customWidth="1"/>
    <col min="14339" max="14339" width="6.28515625" customWidth="1"/>
    <col min="14340" max="14340" width="51.5703125" customWidth="1"/>
    <col min="14341" max="14341" width="9.28515625" customWidth="1"/>
    <col min="14342" max="14342" width="6.42578125" customWidth="1"/>
    <col min="14343" max="14343" width="49.28515625" customWidth="1"/>
    <col min="14593" max="14593" width="6.5703125" customWidth="1"/>
    <col min="14594" max="14594" width="8.42578125" customWidth="1"/>
    <col min="14595" max="14595" width="6.28515625" customWidth="1"/>
    <col min="14596" max="14596" width="51.5703125" customWidth="1"/>
    <col min="14597" max="14597" width="9.28515625" customWidth="1"/>
    <col min="14598" max="14598" width="6.42578125" customWidth="1"/>
    <col min="14599" max="14599" width="49.28515625" customWidth="1"/>
    <col min="14849" max="14849" width="6.5703125" customWidth="1"/>
    <col min="14850" max="14850" width="8.42578125" customWidth="1"/>
    <col min="14851" max="14851" width="6.28515625" customWidth="1"/>
    <col min="14852" max="14852" width="51.5703125" customWidth="1"/>
    <col min="14853" max="14853" width="9.28515625" customWidth="1"/>
    <col min="14854" max="14854" width="6.42578125" customWidth="1"/>
    <col min="14855" max="14855" width="49.28515625" customWidth="1"/>
    <col min="15105" max="15105" width="6.5703125" customWidth="1"/>
    <col min="15106" max="15106" width="8.42578125" customWidth="1"/>
    <col min="15107" max="15107" width="6.28515625" customWidth="1"/>
    <col min="15108" max="15108" width="51.5703125" customWidth="1"/>
    <col min="15109" max="15109" width="9.28515625" customWidth="1"/>
    <col min="15110" max="15110" width="6.42578125" customWidth="1"/>
    <col min="15111" max="15111" width="49.28515625" customWidth="1"/>
    <col min="15361" max="15361" width="6.5703125" customWidth="1"/>
    <col min="15362" max="15362" width="8.42578125" customWidth="1"/>
    <col min="15363" max="15363" width="6.28515625" customWidth="1"/>
    <col min="15364" max="15364" width="51.5703125" customWidth="1"/>
    <col min="15365" max="15365" width="9.28515625" customWidth="1"/>
    <col min="15366" max="15366" width="6.42578125" customWidth="1"/>
    <col min="15367" max="15367" width="49.28515625" customWidth="1"/>
    <col min="15617" max="15617" width="6.5703125" customWidth="1"/>
    <col min="15618" max="15618" width="8.42578125" customWidth="1"/>
    <col min="15619" max="15619" width="6.28515625" customWidth="1"/>
    <col min="15620" max="15620" width="51.5703125" customWidth="1"/>
    <col min="15621" max="15621" width="9.28515625" customWidth="1"/>
    <col min="15622" max="15622" width="6.42578125" customWidth="1"/>
    <col min="15623" max="15623" width="49.28515625" customWidth="1"/>
    <col min="15873" max="15873" width="6.5703125" customWidth="1"/>
    <col min="15874" max="15874" width="8.42578125" customWidth="1"/>
    <col min="15875" max="15875" width="6.28515625" customWidth="1"/>
    <col min="15876" max="15876" width="51.5703125" customWidth="1"/>
    <col min="15877" max="15877" width="9.28515625" customWidth="1"/>
    <col min="15878" max="15878" width="6.42578125" customWidth="1"/>
    <col min="15879" max="15879" width="49.28515625" customWidth="1"/>
    <col min="16129" max="16129" width="6.5703125" customWidth="1"/>
    <col min="16130" max="16130" width="8.42578125" customWidth="1"/>
    <col min="16131" max="16131" width="6.28515625" customWidth="1"/>
    <col min="16132" max="16132" width="51.5703125" customWidth="1"/>
    <col min="16133" max="16133" width="9.28515625" customWidth="1"/>
    <col min="16134" max="16134" width="6.42578125" customWidth="1"/>
    <col min="16135" max="16135" width="49.28515625" customWidth="1"/>
  </cols>
  <sheetData>
    <row r="1" spans="1:8" ht="26.25" x14ac:dyDescent="0.4">
      <c r="A1" s="261" t="s">
        <v>583</v>
      </c>
      <c r="B1" s="261"/>
      <c r="C1" s="261"/>
      <c r="D1" s="261"/>
      <c r="E1" s="261"/>
      <c r="F1" s="261"/>
      <c r="G1" s="261"/>
      <c r="H1" s="261"/>
    </row>
    <row r="2" spans="1:8" ht="18.75" customHeight="1" thickBot="1" x14ac:dyDescent="0.45">
      <c r="A2" s="262" t="s">
        <v>584</v>
      </c>
      <c r="B2" s="261"/>
      <c r="C2" s="261"/>
      <c r="D2" s="261"/>
      <c r="E2" s="261"/>
      <c r="F2" s="261"/>
      <c r="G2" s="261"/>
      <c r="H2" s="261"/>
    </row>
    <row r="3" spans="1:8" ht="48.75" customHeight="1" thickBot="1" x14ac:dyDescent="0.35">
      <c r="A3" s="65" t="s">
        <v>585</v>
      </c>
      <c r="B3" s="66" t="s">
        <v>586</v>
      </c>
      <c r="C3" s="263" t="s">
        <v>587</v>
      </c>
      <c r="D3" s="263"/>
      <c r="E3" s="67" t="s">
        <v>588</v>
      </c>
      <c r="F3" s="68"/>
      <c r="G3" s="69" t="s">
        <v>589</v>
      </c>
    </row>
    <row r="4" spans="1:8" ht="51" customHeight="1" thickBot="1" x14ac:dyDescent="0.3">
      <c r="A4" s="70">
        <v>1</v>
      </c>
      <c r="B4" s="71" t="s">
        <v>49</v>
      </c>
      <c r="C4" s="264" t="s">
        <v>590</v>
      </c>
      <c r="D4" s="265"/>
      <c r="E4" s="72"/>
      <c r="F4" s="73"/>
      <c r="G4" s="74"/>
    </row>
    <row r="5" spans="1:8" ht="18.75" customHeight="1" x14ac:dyDescent="0.25">
      <c r="A5" s="70"/>
      <c r="B5" s="71"/>
      <c r="C5" s="258" t="s">
        <v>591</v>
      </c>
      <c r="D5" s="259"/>
      <c r="E5" s="75"/>
      <c r="F5" s="73"/>
      <c r="G5" s="76"/>
    </row>
    <row r="6" spans="1:8" ht="18.75" customHeight="1" x14ac:dyDescent="0.25">
      <c r="A6" s="70"/>
      <c r="B6" s="71"/>
      <c r="C6" s="258" t="s">
        <v>592</v>
      </c>
      <c r="D6" s="259"/>
      <c r="E6" s="77"/>
      <c r="F6" s="73"/>
      <c r="G6" s="76"/>
    </row>
    <row r="7" spans="1:8" ht="18.75" customHeight="1" x14ac:dyDescent="0.25">
      <c r="A7" s="70"/>
      <c r="B7" s="71"/>
      <c r="C7" s="258" t="s">
        <v>593</v>
      </c>
      <c r="D7" s="259"/>
      <c r="E7" s="77"/>
      <c r="F7" s="73"/>
      <c r="G7" s="76"/>
    </row>
    <row r="8" spans="1:8" ht="18.75" customHeight="1" x14ac:dyDescent="0.25">
      <c r="A8" s="70"/>
      <c r="B8" s="71"/>
      <c r="C8" s="258" t="s">
        <v>594</v>
      </c>
      <c r="D8" s="259"/>
      <c r="E8" s="78">
        <f>SUM(E5:E7)/3</f>
        <v>0</v>
      </c>
      <c r="F8" s="73"/>
      <c r="G8" s="76"/>
    </row>
    <row r="9" spans="1:8" ht="15.75" customHeight="1" thickBot="1" x14ac:dyDescent="0.3">
      <c r="A9" s="79"/>
      <c r="B9" s="80"/>
      <c r="C9" s="274" t="s">
        <v>48</v>
      </c>
      <c r="D9" s="275"/>
      <c r="E9" s="81" t="str">
        <f>IF(OR(E8&lt;1,E8&gt;4), "Salah Isi", E8)</f>
        <v>Salah Isi</v>
      </c>
      <c r="F9" s="73"/>
      <c r="G9" s="82"/>
    </row>
    <row r="10" spans="1:8" ht="15.75" customHeight="1" thickBot="1" x14ac:dyDescent="0.3">
      <c r="A10" s="79"/>
      <c r="B10" s="80"/>
      <c r="C10" s="73"/>
      <c r="D10" s="73"/>
      <c r="E10" s="83"/>
      <c r="F10" s="73"/>
      <c r="G10" s="84"/>
    </row>
    <row r="11" spans="1:8" ht="49.5" customHeight="1" thickBot="1" x14ac:dyDescent="0.3">
      <c r="A11" s="85">
        <v>2</v>
      </c>
      <c r="B11" s="86" t="s">
        <v>51</v>
      </c>
      <c r="C11" s="270" t="s">
        <v>243</v>
      </c>
      <c r="D11" s="271"/>
      <c r="E11" s="87"/>
      <c r="F11" s="73"/>
      <c r="G11" s="74"/>
    </row>
    <row r="12" spans="1:8" ht="16.5" customHeight="1" x14ac:dyDescent="0.25">
      <c r="A12" s="85"/>
      <c r="B12" s="86"/>
      <c r="C12" s="266" t="s">
        <v>595</v>
      </c>
      <c r="D12" s="267"/>
      <c r="E12" s="88"/>
      <c r="F12" s="73"/>
      <c r="G12" s="76"/>
    </row>
    <row r="13" spans="1:8" ht="16.5" customHeight="1" x14ac:dyDescent="0.25">
      <c r="A13" s="85"/>
      <c r="B13" s="86"/>
      <c r="C13" s="266" t="s">
        <v>596</v>
      </c>
      <c r="D13" s="267"/>
      <c r="E13" s="89"/>
      <c r="F13" s="73"/>
      <c r="G13" s="76"/>
    </row>
    <row r="14" spans="1:8" ht="16.5" customHeight="1" x14ac:dyDescent="0.25">
      <c r="A14" s="85"/>
      <c r="B14" s="86"/>
      <c r="C14" s="266" t="s">
        <v>594</v>
      </c>
      <c r="D14" s="267"/>
      <c r="E14" s="90">
        <f>SUM(E12:E13)/2</f>
        <v>0</v>
      </c>
      <c r="F14" s="73"/>
      <c r="G14" s="76"/>
    </row>
    <row r="15" spans="1:8" ht="15.75" customHeight="1" thickBot="1" x14ac:dyDescent="0.3">
      <c r="A15" s="79"/>
      <c r="B15" s="80"/>
      <c r="C15" s="268" t="s">
        <v>48</v>
      </c>
      <c r="D15" s="269"/>
      <c r="E15" s="91" t="str">
        <f>IF(OR(E14&lt;1,E14&gt;4), "Salah Isi", E14)</f>
        <v>Salah Isi</v>
      </c>
      <c r="F15" s="73"/>
      <c r="G15" s="92"/>
    </row>
    <row r="16" spans="1:8" ht="15.75" customHeight="1" thickBot="1" x14ac:dyDescent="0.3">
      <c r="A16" s="79"/>
      <c r="B16" s="80"/>
      <c r="C16" s="73"/>
      <c r="D16" s="73"/>
      <c r="E16" s="83"/>
      <c r="F16" s="73"/>
      <c r="G16" s="92"/>
    </row>
    <row r="17" spans="1:7" ht="54" customHeight="1" thickBot="1" x14ac:dyDescent="0.3">
      <c r="A17" s="85">
        <v>3</v>
      </c>
      <c r="B17" s="93">
        <v>1.2</v>
      </c>
      <c r="C17" s="270" t="s">
        <v>597</v>
      </c>
      <c r="D17" s="271"/>
      <c r="E17" s="94"/>
      <c r="F17" s="73"/>
      <c r="G17" s="74"/>
    </row>
    <row r="18" spans="1:7" ht="27.75" customHeight="1" x14ac:dyDescent="0.25">
      <c r="A18" s="85"/>
      <c r="B18" s="93"/>
      <c r="C18" s="95">
        <v>1</v>
      </c>
      <c r="D18" s="96" t="s">
        <v>598</v>
      </c>
      <c r="E18" s="97"/>
      <c r="F18" s="73"/>
      <c r="G18" s="76"/>
    </row>
    <row r="19" spans="1:7" ht="28.5" customHeight="1" x14ac:dyDescent="0.25">
      <c r="A19" s="85"/>
      <c r="B19" s="93"/>
      <c r="C19" s="95">
        <v>2</v>
      </c>
      <c r="D19" s="98" t="s">
        <v>599</v>
      </c>
      <c r="E19" s="97"/>
      <c r="F19" s="73"/>
      <c r="G19" s="76"/>
    </row>
    <row r="20" spans="1:7" ht="27" customHeight="1" x14ac:dyDescent="0.25">
      <c r="A20" s="85"/>
      <c r="B20" s="93"/>
      <c r="C20" s="95">
        <v>3</v>
      </c>
      <c r="D20" s="98" t="s">
        <v>600</v>
      </c>
      <c r="E20" s="97"/>
      <c r="F20" s="73"/>
      <c r="G20" s="76"/>
    </row>
    <row r="21" spans="1:7" ht="30.75" customHeight="1" x14ac:dyDescent="0.25">
      <c r="A21" s="85"/>
      <c r="B21" s="93"/>
      <c r="C21" s="95">
        <v>4</v>
      </c>
      <c r="D21" s="98" t="s">
        <v>601</v>
      </c>
      <c r="E21" s="97"/>
      <c r="F21" s="73"/>
      <c r="G21" s="76"/>
    </row>
    <row r="22" spans="1:7" ht="15.75" thickBot="1" x14ac:dyDescent="0.3">
      <c r="A22" s="79"/>
      <c r="B22" s="80"/>
      <c r="C22" s="272" t="s">
        <v>48</v>
      </c>
      <c r="D22" s="273"/>
      <c r="E22" s="99" t="str">
        <f>IF(OR(E17&lt;1,E17&gt;4),"salah Isi", E17)</f>
        <v>salah Isi</v>
      </c>
      <c r="F22" s="73"/>
      <c r="G22" s="92"/>
    </row>
    <row r="23" spans="1:7" ht="15.75" thickBot="1" x14ac:dyDescent="0.3">
      <c r="A23" s="79"/>
      <c r="B23" s="80"/>
      <c r="C23" s="73"/>
      <c r="D23" s="73"/>
      <c r="E23" s="83"/>
      <c r="F23" s="73"/>
      <c r="G23" s="92"/>
    </row>
    <row r="24" spans="1:7" ht="61.5" customHeight="1" thickBot="1" x14ac:dyDescent="0.3">
      <c r="A24" s="85">
        <v>4</v>
      </c>
      <c r="B24" s="93">
        <v>2.1</v>
      </c>
      <c r="C24" s="270" t="s">
        <v>602</v>
      </c>
      <c r="D24" s="271"/>
      <c r="E24" s="100"/>
      <c r="F24" s="73"/>
      <c r="G24" s="74"/>
    </row>
    <row r="25" spans="1:7" ht="15.75" thickBot="1" x14ac:dyDescent="0.3">
      <c r="A25" s="79"/>
      <c r="B25" s="80"/>
      <c r="C25" s="272" t="s">
        <v>48</v>
      </c>
      <c r="D25" s="273"/>
      <c r="E25" s="99">
        <f>IF(OR(E24&lt;0,E24&gt;4),"Salah Isi", E24)</f>
        <v>0</v>
      </c>
      <c r="F25" s="73"/>
      <c r="G25" s="92"/>
    </row>
    <row r="26" spans="1:7" ht="15.75" thickBot="1" x14ac:dyDescent="0.3">
      <c r="A26" s="79"/>
      <c r="B26" s="80"/>
      <c r="C26" s="101"/>
      <c r="D26" s="101"/>
      <c r="E26" s="102"/>
      <c r="F26" s="73"/>
      <c r="G26" s="92"/>
    </row>
    <row r="27" spans="1:7" ht="56.25" customHeight="1" thickBot="1" x14ac:dyDescent="0.3">
      <c r="A27" s="79">
        <v>5</v>
      </c>
      <c r="B27" s="103">
        <v>2.2000000000000002</v>
      </c>
      <c r="C27" s="104" t="s">
        <v>246</v>
      </c>
      <c r="D27" s="105"/>
      <c r="E27" s="100"/>
      <c r="F27" s="73"/>
      <c r="G27" s="74"/>
    </row>
    <row r="28" spans="1:7" ht="15.75" thickBot="1" x14ac:dyDescent="0.3">
      <c r="A28" s="79"/>
      <c r="B28" s="80"/>
      <c r="C28" s="280" t="s">
        <v>48</v>
      </c>
      <c r="D28" s="281"/>
      <c r="E28" s="99" t="str">
        <f>IF(OR(E27&lt;1,E27&gt;4),"Salah Isi", E27)</f>
        <v>Salah Isi</v>
      </c>
      <c r="F28" s="73"/>
      <c r="G28" s="92"/>
    </row>
    <row r="29" spans="1:7" ht="15.75" thickBot="1" x14ac:dyDescent="0.3">
      <c r="A29" s="79"/>
      <c r="B29" s="80"/>
      <c r="C29" s="101"/>
      <c r="D29" s="101"/>
      <c r="E29" s="102"/>
      <c r="F29" s="73"/>
      <c r="G29" s="92"/>
    </row>
    <row r="30" spans="1:7" ht="29.25" customHeight="1" thickBot="1" x14ac:dyDescent="0.3">
      <c r="A30" s="85">
        <v>6</v>
      </c>
      <c r="B30" s="93">
        <v>2.2999999999999998</v>
      </c>
      <c r="C30" s="270" t="s">
        <v>247</v>
      </c>
      <c r="D30" s="271"/>
      <c r="E30" s="100"/>
      <c r="F30" s="73"/>
      <c r="G30" s="74"/>
    </row>
    <row r="31" spans="1:7" ht="15.75" thickBot="1" x14ac:dyDescent="0.3">
      <c r="A31" s="79"/>
      <c r="B31" s="80"/>
      <c r="C31" s="272" t="s">
        <v>48</v>
      </c>
      <c r="D31" s="273"/>
      <c r="E31" s="99" t="str">
        <f>IF(OR(E30&lt;1,E30&gt;4),"Salah Isi", E30)</f>
        <v>Salah Isi</v>
      </c>
      <c r="F31" s="73"/>
      <c r="G31" s="92"/>
    </row>
    <row r="32" spans="1:7" ht="15.75" thickBot="1" x14ac:dyDescent="0.3">
      <c r="A32" s="79"/>
      <c r="B32" s="80"/>
      <c r="C32" s="101"/>
      <c r="D32" s="101"/>
      <c r="E32" s="102"/>
      <c r="F32" s="73"/>
      <c r="G32" s="92"/>
    </row>
    <row r="33" spans="1:7" ht="66" customHeight="1" thickBot="1" x14ac:dyDescent="0.3">
      <c r="A33" s="85">
        <v>7</v>
      </c>
      <c r="B33" s="93">
        <v>2.4</v>
      </c>
      <c r="C33" s="278" t="s">
        <v>603</v>
      </c>
      <c r="D33" s="279"/>
      <c r="E33" s="100"/>
      <c r="F33" s="73"/>
      <c r="G33" s="74"/>
    </row>
    <row r="34" spans="1:7" ht="15.75" thickBot="1" x14ac:dyDescent="0.3">
      <c r="A34" s="79"/>
      <c r="B34" s="80"/>
      <c r="C34" s="272" t="s">
        <v>48</v>
      </c>
      <c r="D34" s="273"/>
      <c r="E34" s="106">
        <f>IF(OR(E33&lt;0,E33&gt;4),"Salah Isi", E33)</f>
        <v>0</v>
      </c>
      <c r="F34" s="73"/>
      <c r="G34" s="92"/>
    </row>
    <row r="35" spans="1:7" ht="15.75" thickBot="1" x14ac:dyDescent="0.3">
      <c r="A35" s="79"/>
      <c r="B35" s="80"/>
      <c r="C35" s="101"/>
      <c r="D35" s="101"/>
      <c r="E35" s="102"/>
      <c r="F35" s="73"/>
      <c r="G35" s="92"/>
    </row>
    <row r="36" spans="1:7" ht="38.25" customHeight="1" thickBot="1" x14ac:dyDescent="0.3">
      <c r="A36" s="85">
        <v>8</v>
      </c>
      <c r="B36" s="86" t="s">
        <v>249</v>
      </c>
      <c r="C36" s="270" t="s">
        <v>250</v>
      </c>
      <c r="D36" s="271"/>
      <c r="E36" s="107"/>
      <c r="F36" s="73"/>
      <c r="G36" s="74"/>
    </row>
    <row r="37" spans="1:7" ht="15.75" thickBot="1" x14ac:dyDescent="0.3">
      <c r="A37" s="79"/>
      <c r="B37" s="80"/>
      <c r="C37" s="272" t="s">
        <v>48</v>
      </c>
      <c r="D37" s="273"/>
      <c r="E37" s="99">
        <f>IF(E36&lt;0, "Salah Isi", IF(E36&lt;=4, E36, "Salah Isi"))</f>
        <v>0</v>
      </c>
      <c r="F37" s="73"/>
      <c r="G37" s="92"/>
    </row>
    <row r="38" spans="1:7" ht="15.75" thickBot="1" x14ac:dyDescent="0.3">
      <c r="A38" s="79"/>
      <c r="B38" s="80"/>
      <c r="C38" s="101"/>
      <c r="D38" s="101"/>
      <c r="E38" s="102"/>
      <c r="F38" s="73"/>
      <c r="G38" s="92"/>
    </row>
    <row r="39" spans="1:7" ht="42.75" customHeight="1" thickBot="1" x14ac:dyDescent="0.3">
      <c r="A39" s="85">
        <v>9</v>
      </c>
      <c r="B39" s="86" t="s">
        <v>251</v>
      </c>
      <c r="C39" s="270" t="s">
        <v>252</v>
      </c>
      <c r="D39" s="271"/>
      <c r="E39" s="107"/>
      <c r="F39" s="73"/>
      <c r="G39" s="74"/>
    </row>
    <row r="40" spans="1:7" ht="15.75" thickBot="1" x14ac:dyDescent="0.3">
      <c r="A40" s="79"/>
      <c r="B40" s="80"/>
      <c r="C40" s="274" t="s">
        <v>48</v>
      </c>
      <c r="D40" s="275"/>
      <c r="E40" s="99">
        <f>IF(E39&lt;0, "Salah Isi", IF(E39&lt;=4, E39, "Salah Isi"))</f>
        <v>0</v>
      </c>
      <c r="F40" s="73"/>
      <c r="G40" s="92"/>
    </row>
    <row r="41" spans="1:7" ht="15.75" thickBot="1" x14ac:dyDescent="0.3">
      <c r="A41" s="79"/>
      <c r="B41" s="80"/>
      <c r="C41" s="73"/>
      <c r="D41" s="73"/>
      <c r="E41" s="83"/>
      <c r="F41" s="73"/>
      <c r="G41" s="92"/>
    </row>
    <row r="42" spans="1:7" ht="52.5" customHeight="1" thickBot="1" x14ac:dyDescent="0.3">
      <c r="A42" s="85">
        <v>10</v>
      </c>
      <c r="B42" s="86" t="s">
        <v>253</v>
      </c>
      <c r="C42" s="270" t="s">
        <v>604</v>
      </c>
      <c r="D42" s="271"/>
      <c r="E42" s="107"/>
      <c r="F42" s="73"/>
      <c r="G42" s="74"/>
    </row>
    <row r="43" spans="1:7" ht="26.25" customHeight="1" thickBot="1" x14ac:dyDescent="0.3">
      <c r="A43" s="79"/>
      <c r="B43" s="80"/>
      <c r="C43" s="276" t="s">
        <v>48</v>
      </c>
      <c r="D43" s="277"/>
      <c r="E43" s="108">
        <f>IF(E42&lt;0, "Salah Isi", IF(E42=1,"Tidak ada skor 1", IF(E42=3, "Tidak ada skor 3", IF(E42&lt;=4, E42, "Salah Isi"))))</f>
        <v>0</v>
      </c>
      <c r="F43" s="73"/>
      <c r="G43" s="92"/>
    </row>
    <row r="44" spans="1:7" ht="15.75" thickBot="1" x14ac:dyDescent="0.3">
      <c r="A44" s="79"/>
      <c r="B44" s="80"/>
      <c r="C44" s="73"/>
      <c r="D44" s="73"/>
      <c r="E44" s="109"/>
      <c r="F44" s="73"/>
      <c r="G44" s="92"/>
    </row>
    <row r="45" spans="1:7" ht="43.5" customHeight="1" thickBot="1" x14ac:dyDescent="0.3">
      <c r="A45" s="85">
        <v>11</v>
      </c>
      <c r="B45" s="86" t="s">
        <v>68</v>
      </c>
      <c r="C45" s="278" t="s">
        <v>605</v>
      </c>
      <c r="D45" s="279"/>
      <c r="E45" s="110"/>
      <c r="F45" s="73"/>
      <c r="G45" s="74"/>
    </row>
    <row r="46" spans="1:7" x14ac:dyDescent="0.25">
      <c r="A46" s="79"/>
      <c r="B46" s="80"/>
      <c r="C46" s="111" t="s">
        <v>606</v>
      </c>
      <c r="D46" s="104" t="s">
        <v>607</v>
      </c>
      <c r="E46" s="112"/>
      <c r="F46" s="73"/>
      <c r="G46" s="92"/>
    </row>
    <row r="47" spans="1:7" x14ac:dyDescent="0.25">
      <c r="A47" s="79"/>
      <c r="B47" s="80"/>
      <c r="C47" s="111" t="s">
        <v>608</v>
      </c>
      <c r="D47" s="104" t="s">
        <v>609</v>
      </c>
      <c r="E47" s="112"/>
      <c r="F47" s="73"/>
      <c r="G47" s="92"/>
    </row>
    <row r="48" spans="1:7" x14ac:dyDescent="0.25">
      <c r="A48" s="79"/>
      <c r="B48" s="80"/>
      <c r="C48" s="113" t="s">
        <v>610</v>
      </c>
      <c r="D48" s="114" t="s">
        <v>611</v>
      </c>
      <c r="E48" s="115" t="e">
        <f>E46/E47</f>
        <v>#DIV/0!</v>
      </c>
      <c r="F48" s="73"/>
      <c r="G48" s="92"/>
    </row>
    <row r="49" spans="1:7" ht="15.75" thickBot="1" x14ac:dyDescent="0.3">
      <c r="A49" s="79"/>
      <c r="B49" s="80"/>
      <c r="C49" s="272" t="s">
        <v>48</v>
      </c>
      <c r="D49" s="273"/>
      <c r="E49" s="99" t="e">
        <f>IF(E48&gt;=1.25, 0, IF(E48&gt;0.25, 5-4*E48, 4))</f>
        <v>#DIV/0!</v>
      </c>
      <c r="F49" s="73"/>
      <c r="G49" s="92"/>
    </row>
    <row r="50" spans="1:7" ht="15.75" thickBot="1" x14ac:dyDescent="0.3">
      <c r="A50" s="79"/>
      <c r="B50" s="80"/>
      <c r="C50" s="101"/>
      <c r="D50" s="101"/>
      <c r="E50" s="102"/>
      <c r="F50" s="73"/>
      <c r="G50" s="92"/>
    </row>
    <row r="51" spans="1:7" ht="44.25" customHeight="1" thickBot="1" x14ac:dyDescent="0.3">
      <c r="A51" s="85">
        <v>12</v>
      </c>
      <c r="B51" s="86" t="s">
        <v>256</v>
      </c>
      <c r="C51" s="270" t="s">
        <v>257</v>
      </c>
      <c r="D51" s="271"/>
      <c r="E51" s="107"/>
      <c r="F51" s="73"/>
      <c r="G51" s="74"/>
    </row>
    <row r="52" spans="1:7" ht="15.75" thickBot="1" x14ac:dyDescent="0.3">
      <c r="A52" s="79"/>
      <c r="B52" s="80"/>
      <c r="C52" s="272" t="s">
        <v>48</v>
      </c>
      <c r="D52" s="273"/>
      <c r="E52" s="99" t="str">
        <f>IF(OR(E51&lt;1,E51&gt;4),"Salah Isi",E51)</f>
        <v>Salah Isi</v>
      </c>
      <c r="F52" s="73"/>
      <c r="G52" s="92"/>
    </row>
    <row r="53" spans="1:7" ht="15.75" thickBot="1" x14ac:dyDescent="0.3">
      <c r="A53" s="79"/>
      <c r="B53" s="80"/>
      <c r="C53" s="73"/>
      <c r="D53" s="73"/>
      <c r="E53" s="83"/>
      <c r="F53" s="73"/>
      <c r="G53" s="92"/>
    </row>
    <row r="54" spans="1:7" ht="42.75" customHeight="1" thickBot="1" x14ac:dyDescent="0.3">
      <c r="A54" s="85">
        <v>13</v>
      </c>
      <c r="B54" s="86" t="s">
        <v>258</v>
      </c>
      <c r="C54" s="278" t="s">
        <v>259</v>
      </c>
      <c r="D54" s="279"/>
      <c r="E54" s="116"/>
      <c r="F54" s="73"/>
      <c r="G54" s="74"/>
    </row>
    <row r="55" spans="1:7" ht="27.75" customHeight="1" x14ac:dyDescent="0.25">
      <c r="A55" s="85"/>
      <c r="B55" s="86"/>
      <c r="C55" s="282" t="s">
        <v>612</v>
      </c>
      <c r="D55" s="283"/>
      <c r="E55" s="112"/>
      <c r="F55" s="73"/>
      <c r="G55" s="76"/>
    </row>
    <row r="56" spans="1:7" ht="14.25" customHeight="1" x14ac:dyDescent="0.25">
      <c r="A56" s="85"/>
      <c r="B56" s="86"/>
      <c r="C56" s="117" t="s">
        <v>613</v>
      </c>
      <c r="D56" s="118"/>
      <c r="E56" s="112"/>
      <c r="F56" s="73"/>
      <c r="G56" s="76"/>
    </row>
    <row r="57" spans="1:7" ht="14.25" customHeight="1" x14ac:dyDescent="0.25">
      <c r="A57" s="85"/>
      <c r="B57" s="86"/>
      <c r="C57" s="119" t="s">
        <v>614</v>
      </c>
      <c r="D57" s="120"/>
      <c r="E57" s="121" t="e">
        <f>E55/E56</f>
        <v>#DIV/0!</v>
      </c>
      <c r="F57" s="73"/>
      <c r="G57" s="76"/>
    </row>
    <row r="58" spans="1:7" ht="15.75" thickBot="1" x14ac:dyDescent="0.3">
      <c r="A58" s="79"/>
      <c r="B58" s="80"/>
      <c r="C58" s="272" t="s">
        <v>48</v>
      </c>
      <c r="D58" s="273"/>
      <c r="E58" s="99" t="e">
        <f>IF(E57=0,0,IF(E57&lt;1,"Salah Isi",IF(E57&lt;=4,E57,"Salah Isi")))</f>
        <v>#DIV/0!</v>
      </c>
      <c r="F58" s="73"/>
      <c r="G58" s="92"/>
    </row>
    <row r="59" spans="1:7" ht="15.75" thickBot="1" x14ac:dyDescent="0.3">
      <c r="A59" s="79"/>
      <c r="B59" s="80"/>
      <c r="C59" s="73"/>
      <c r="D59" s="73"/>
      <c r="E59" s="83"/>
      <c r="F59" s="73"/>
      <c r="G59" s="92"/>
    </row>
    <row r="60" spans="1:7" ht="42" customHeight="1" thickBot="1" x14ac:dyDescent="0.3">
      <c r="A60" s="85">
        <v>14</v>
      </c>
      <c r="B60" s="86" t="s">
        <v>260</v>
      </c>
      <c r="C60" s="270" t="s">
        <v>261</v>
      </c>
      <c r="D60" s="271"/>
      <c r="E60" s="116"/>
      <c r="F60" s="73"/>
      <c r="G60" s="74"/>
    </row>
    <row r="61" spans="1:7" ht="28.5" customHeight="1" x14ac:dyDescent="0.25">
      <c r="A61" s="85"/>
      <c r="B61" s="86"/>
      <c r="C61" s="282" t="s">
        <v>615</v>
      </c>
      <c r="D61" s="283"/>
      <c r="E61" s="122"/>
      <c r="F61" s="73"/>
      <c r="G61" s="76"/>
    </row>
    <row r="62" spans="1:7" ht="15" customHeight="1" x14ac:dyDescent="0.25">
      <c r="A62" s="85"/>
      <c r="B62" s="86"/>
      <c r="C62" s="117" t="s">
        <v>616</v>
      </c>
      <c r="D62" s="123"/>
      <c r="E62" s="112"/>
      <c r="F62" s="73"/>
      <c r="G62" s="76"/>
    </row>
    <row r="63" spans="1:7" ht="15" customHeight="1" x14ac:dyDescent="0.25">
      <c r="A63" s="85"/>
      <c r="B63" s="86"/>
      <c r="C63" s="119" t="s">
        <v>614</v>
      </c>
      <c r="D63" s="123"/>
      <c r="E63" s="121" t="e">
        <f>E61/E62</f>
        <v>#DIV/0!</v>
      </c>
      <c r="F63" s="73"/>
      <c r="G63" s="76"/>
    </row>
    <row r="64" spans="1:7" ht="15.75" thickBot="1" x14ac:dyDescent="0.3">
      <c r="A64" s="79"/>
      <c r="B64" s="80"/>
      <c r="C64" s="272" t="s">
        <v>48</v>
      </c>
      <c r="D64" s="273"/>
      <c r="E64" s="99" t="e">
        <f>IF(E63=0,0,IF(E63&lt;1,"Salah Isi",IF(E63&lt;=4,E63,"Salah Isi")))</f>
        <v>#DIV/0!</v>
      </c>
      <c r="F64" s="73"/>
      <c r="G64" s="92"/>
    </row>
    <row r="65" spans="1:7" ht="15.75" thickBot="1" x14ac:dyDescent="0.3">
      <c r="A65" s="79"/>
      <c r="B65" s="80"/>
      <c r="C65" s="73"/>
      <c r="D65" s="73"/>
      <c r="E65" s="83"/>
      <c r="F65" s="73"/>
      <c r="G65" s="92"/>
    </row>
    <row r="66" spans="1:7" ht="50.25" customHeight="1" thickBot="1" x14ac:dyDescent="0.3">
      <c r="A66" s="85">
        <v>15</v>
      </c>
      <c r="B66" s="86" t="s">
        <v>76</v>
      </c>
      <c r="C66" s="278" t="s">
        <v>262</v>
      </c>
      <c r="D66" s="279"/>
      <c r="E66" s="107"/>
      <c r="F66" s="73"/>
      <c r="G66" s="74"/>
    </row>
    <row r="67" spans="1:7" ht="15.75" thickBot="1" x14ac:dyDescent="0.3">
      <c r="A67" s="79"/>
      <c r="B67" s="80"/>
      <c r="C67" s="274" t="s">
        <v>48</v>
      </c>
      <c r="D67" s="275"/>
      <c r="E67" s="99">
        <f>IF(E66&lt;0, "Salah Isi", IF(E66&lt;=4, E66, "Salah Isi"))</f>
        <v>0</v>
      </c>
      <c r="F67" s="73"/>
      <c r="G67" s="92"/>
    </row>
    <row r="68" spans="1:7" ht="15.75" thickBot="1" x14ac:dyDescent="0.3">
      <c r="A68" s="79"/>
      <c r="B68" s="80"/>
      <c r="C68" s="73"/>
      <c r="D68" s="73"/>
      <c r="E68" s="83"/>
      <c r="F68" s="73"/>
      <c r="G68" s="92"/>
    </row>
    <row r="69" spans="1:7" ht="50.25" customHeight="1" thickBot="1" x14ac:dyDescent="0.3">
      <c r="A69" s="85">
        <v>16</v>
      </c>
      <c r="B69" s="86" t="s">
        <v>263</v>
      </c>
      <c r="C69" s="278" t="s">
        <v>264</v>
      </c>
      <c r="D69" s="279"/>
      <c r="E69" s="110"/>
      <c r="F69" s="73"/>
      <c r="G69" s="74"/>
    </row>
    <row r="70" spans="1:7" x14ac:dyDescent="0.25">
      <c r="A70" s="79"/>
      <c r="B70" s="80"/>
      <c r="C70" s="111" t="s">
        <v>617</v>
      </c>
      <c r="D70" s="104"/>
      <c r="E70" s="122"/>
      <c r="F70" s="73" t="str">
        <f>IF(E70&lt;2,"Salah",IF(E70&lt;=4,"Benar","Salah"))</f>
        <v>Salah</v>
      </c>
      <c r="G70" s="92"/>
    </row>
    <row r="71" spans="1:7" ht="15.75" thickBot="1" x14ac:dyDescent="0.3">
      <c r="A71" s="79"/>
      <c r="B71" s="80"/>
      <c r="C71" s="274" t="s">
        <v>48</v>
      </c>
      <c r="D71" s="275"/>
      <c r="E71" s="99" t="str">
        <f>IF(E70&lt;2, "Salah Isi",IF(E70&lt;=4, E70, "Salah Isi") )</f>
        <v>Salah Isi</v>
      </c>
      <c r="F71" s="73"/>
      <c r="G71" s="92"/>
    </row>
    <row r="72" spans="1:7" ht="15.75" thickBot="1" x14ac:dyDescent="0.3">
      <c r="A72" s="79"/>
      <c r="B72" s="80"/>
      <c r="C72" s="73"/>
      <c r="D72" s="73"/>
      <c r="E72" s="83"/>
      <c r="F72" s="73"/>
      <c r="G72" s="92"/>
    </row>
    <row r="73" spans="1:7" ht="54" customHeight="1" thickBot="1" x14ac:dyDescent="0.3">
      <c r="A73" s="85">
        <v>17</v>
      </c>
      <c r="B73" s="86" t="s">
        <v>265</v>
      </c>
      <c r="C73" s="278" t="s">
        <v>618</v>
      </c>
      <c r="D73" s="279"/>
      <c r="E73" s="110"/>
      <c r="F73" s="73"/>
      <c r="G73" s="74"/>
    </row>
    <row r="74" spans="1:7" x14ac:dyDescent="0.25">
      <c r="A74" s="79"/>
      <c r="B74" s="80"/>
      <c r="C74" s="111" t="s">
        <v>619</v>
      </c>
      <c r="D74" s="104"/>
      <c r="E74" s="112"/>
      <c r="F74" s="73"/>
      <c r="G74" s="92"/>
    </row>
    <row r="75" spans="1:7" x14ac:dyDescent="0.25">
      <c r="A75" s="79"/>
      <c r="B75" s="80"/>
      <c r="C75" s="111" t="s">
        <v>620</v>
      </c>
      <c r="D75" s="104"/>
      <c r="E75" s="112"/>
      <c r="F75" s="73"/>
      <c r="G75" s="92"/>
    </row>
    <row r="76" spans="1:7" x14ac:dyDescent="0.25">
      <c r="A76" s="79"/>
      <c r="B76" s="80"/>
      <c r="C76" s="111" t="s">
        <v>621</v>
      </c>
      <c r="D76" s="104"/>
      <c r="E76" s="112"/>
      <c r="F76" s="73"/>
      <c r="G76" s="92"/>
    </row>
    <row r="77" spans="1:7" x14ac:dyDescent="0.25">
      <c r="A77" s="79"/>
      <c r="B77" s="80"/>
      <c r="C77" s="111" t="s">
        <v>622</v>
      </c>
      <c r="D77" s="104"/>
      <c r="E77" s="124">
        <f>SUM(E74:E76)</f>
        <v>0</v>
      </c>
      <c r="F77" s="73"/>
      <c r="G77" s="92"/>
    </row>
    <row r="78" spans="1:7" x14ac:dyDescent="0.25">
      <c r="A78" s="125"/>
      <c r="B78" s="126"/>
      <c r="C78" s="111" t="s">
        <v>623</v>
      </c>
      <c r="D78" s="104"/>
      <c r="E78" s="127" t="e">
        <f>((E75+E76)/E77)</f>
        <v>#DIV/0!</v>
      </c>
      <c r="F78" s="73"/>
      <c r="G78" s="92"/>
    </row>
    <row r="79" spans="1:7" x14ac:dyDescent="0.25">
      <c r="A79" s="79"/>
      <c r="B79" s="80"/>
      <c r="C79" s="128" t="s">
        <v>624</v>
      </c>
      <c r="D79" s="104" t="s">
        <v>625</v>
      </c>
      <c r="E79" s="112"/>
      <c r="F79" s="73"/>
      <c r="G79" s="92"/>
    </row>
    <row r="80" spans="1:7" x14ac:dyDescent="0.25">
      <c r="A80" s="79"/>
      <c r="B80" s="80"/>
      <c r="C80" s="128" t="s">
        <v>626</v>
      </c>
      <c r="D80" s="104" t="s">
        <v>627</v>
      </c>
      <c r="E80" s="112"/>
      <c r="F80" s="73"/>
      <c r="G80" s="92"/>
    </row>
    <row r="81" spans="1:7" x14ac:dyDescent="0.25">
      <c r="A81" s="79"/>
      <c r="B81" s="80"/>
      <c r="C81" s="128" t="s">
        <v>628</v>
      </c>
      <c r="D81" s="104" t="s">
        <v>629</v>
      </c>
      <c r="E81" s="112"/>
      <c r="F81" s="73"/>
      <c r="G81" s="92"/>
    </row>
    <row r="82" spans="1:7" x14ac:dyDescent="0.25">
      <c r="A82" s="79"/>
      <c r="B82" s="80"/>
      <c r="C82" s="128" t="s">
        <v>630</v>
      </c>
      <c r="D82" s="104" t="s">
        <v>631</v>
      </c>
      <c r="E82" s="115" t="e">
        <f>(0.75*E79+1.25*E80)/E81</f>
        <v>#DIV/0!</v>
      </c>
      <c r="F82" s="73"/>
      <c r="G82" s="92"/>
    </row>
    <row r="83" spans="1:7" ht="15.75" thickBot="1" x14ac:dyDescent="0.3">
      <c r="A83" s="79"/>
      <c r="B83" s="80"/>
      <c r="C83" s="129" t="s">
        <v>48</v>
      </c>
      <c r="D83" s="130"/>
      <c r="E83" s="99" t="e">
        <f>IF(E78&gt;0.9,4,IF(E82&lt;=4,E82,4))</f>
        <v>#DIV/0!</v>
      </c>
      <c r="F83" s="73"/>
      <c r="G83" s="92"/>
    </row>
    <row r="84" spans="1:7" ht="15.75" thickBot="1" x14ac:dyDescent="0.3">
      <c r="A84" s="79"/>
      <c r="B84" s="80"/>
      <c r="C84" s="73"/>
      <c r="D84" s="73"/>
      <c r="E84" s="83"/>
      <c r="F84" s="73"/>
      <c r="G84" s="92"/>
    </row>
    <row r="85" spans="1:7" ht="42" customHeight="1" thickBot="1" x14ac:dyDescent="0.3">
      <c r="A85" s="85">
        <v>18</v>
      </c>
      <c r="B85" s="86" t="s">
        <v>267</v>
      </c>
      <c r="C85" s="278" t="s">
        <v>632</v>
      </c>
      <c r="D85" s="279"/>
      <c r="E85" s="107">
        <v>4</v>
      </c>
      <c r="F85" s="73"/>
      <c r="G85" s="74"/>
    </row>
    <row r="86" spans="1:7" ht="15.75" thickBot="1" x14ac:dyDescent="0.3">
      <c r="A86" s="79"/>
      <c r="B86" s="80"/>
      <c r="C86" s="274" t="s">
        <v>48</v>
      </c>
      <c r="D86" s="275"/>
      <c r="E86" s="99" t="e">
        <f xml:space="preserve"> IF(E78&gt;0.9, 4, IF(E85&lt;0, "Salah Isi", IF(E85&lt;=4, E85, "Salah Isi")))</f>
        <v>#DIV/0!</v>
      </c>
      <c r="F86" s="73"/>
      <c r="G86" s="92"/>
    </row>
    <row r="87" spans="1:7" ht="15.75" thickBot="1" x14ac:dyDescent="0.3">
      <c r="A87" s="79"/>
      <c r="B87" s="80"/>
      <c r="C87" s="73"/>
      <c r="D87" s="73"/>
      <c r="E87" s="83"/>
      <c r="F87" s="73"/>
      <c r="G87" s="92"/>
    </row>
    <row r="88" spans="1:7" ht="41.25" customHeight="1" thickBot="1" x14ac:dyDescent="0.3">
      <c r="A88" s="85">
        <v>19</v>
      </c>
      <c r="B88" s="131">
        <v>4.2</v>
      </c>
      <c r="C88" s="278" t="s">
        <v>269</v>
      </c>
      <c r="D88" s="279"/>
      <c r="E88" s="107"/>
      <c r="F88" s="73"/>
      <c r="G88" s="74"/>
    </row>
    <row r="89" spans="1:7" ht="15.75" thickBot="1" x14ac:dyDescent="0.3">
      <c r="A89" s="79"/>
      <c r="B89" s="80"/>
      <c r="C89" s="274" t="s">
        <v>48</v>
      </c>
      <c r="D89" s="275"/>
      <c r="E89" s="99" t="str">
        <f>IF(OR(E88&lt;1,E88&gt;4),"Salah Isi", E88)</f>
        <v>Salah Isi</v>
      </c>
      <c r="F89" s="73"/>
      <c r="G89" s="92"/>
    </row>
    <row r="90" spans="1:7" ht="15.75" thickBot="1" x14ac:dyDescent="0.3">
      <c r="A90" s="79"/>
      <c r="B90" s="80"/>
      <c r="C90" s="73"/>
      <c r="D90" s="73"/>
      <c r="E90" s="83"/>
      <c r="F90" s="73"/>
      <c r="G90" s="92"/>
    </row>
    <row r="91" spans="1:7" ht="41.25" customHeight="1" thickBot="1" x14ac:dyDescent="0.3">
      <c r="A91" s="85">
        <v>20</v>
      </c>
      <c r="B91" s="131">
        <v>5.0999999999999996</v>
      </c>
      <c r="C91" s="270" t="s">
        <v>633</v>
      </c>
      <c r="D91" s="271"/>
      <c r="E91" s="107"/>
      <c r="F91" s="73"/>
      <c r="G91" s="74"/>
    </row>
    <row r="92" spans="1:7" ht="15.75" thickBot="1" x14ac:dyDescent="0.3">
      <c r="A92" s="79"/>
      <c r="B92" s="80"/>
      <c r="C92" s="274" t="s">
        <v>48</v>
      </c>
      <c r="D92" s="275"/>
      <c r="E92" s="99">
        <f>IF(E91&lt;0, "Salah Isi", IF(E91&lt;=4, E91, "Salah Isi"))</f>
        <v>0</v>
      </c>
      <c r="F92" s="73"/>
      <c r="G92" s="92"/>
    </row>
    <row r="93" spans="1:7" ht="15.75" thickBot="1" x14ac:dyDescent="0.3">
      <c r="A93" s="79"/>
      <c r="B93" s="80"/>
      <c r="C93" s="73"/>
      <c r="D93" s="73"/>
      <c r="E93" s="83"/>
      <c r="F93" s="73"/>
      <c r="G93" s="92"/>
    </row>
    <row r="94" spans="1:7" ht="39.75" customHeight="1" thickBot="1" x14ac:dyDescent="0.3">
      <c r="A94" s="85">
        <v>21</v>
      </c>
      <c r="B94" s="131">
        <v>5.2</v>
      </c>
      <c r="C94" s="270" t="s">
        <v>271</v>
      </c>
      <c r="D94" s="271"/>
      <c r="E94" s="107"/>
      <c r="F94" s="73"/>
      <c r="G94" s="74"/>
    </row>
    <row r="95" spans="1:7" ht="15.75" thickBot="1" x14ac:dyDescent="0.3">
      <c r="A95" s="79"/>
      <c r="B95" s="80"/>
      <c r="C95" s="274" t="s">
        <v>48</v>
      </c>
      <c r="D95" s="275"/>
      <c r="E95" s="99">
        <f>IF(E94&lt;0, "Salah Isi", IF(E94&lt;=4, E94, "Salah Isi"))</f>
        <v>0</v>
      </c>
      <c r="F95" s="73"/>
      <c r="G95" s="92"/>
    </row>
    <row r="96" spans="1:7" ht="15.75" thickBot="1" x14ac:dyDescent="0.3">
      <c r="A96" s="79"/>
      <c r="B96" s="80"/>
      <c r="C96" s="73"/>
      <c r="D96" s="73"/>
      <c r="E96" s="83"/>
      <c r="F96" s="73"/>
      <c r="G96" s="92"/>
    </row>
    <row r="97" spans="1:7" ht="51" customHeight="1" thickBot="1" x14ac:dyDescent="0.3">
      <c r="A97" s="85">
        <v>22</v>
      </c>
      <c r="B97" s="131">
        <v>5.3</v>
      </c>
      <c r="C97" s="270" t="s">
        <v>272</v>
      </c>
      <c r="D97" s="271"/>
      <c r="E97" s="110"/>
      <c r="F97" s="73"/>
      <c r="G97" s="74"/>
    </row>
    <row r="98" spans="1:7" ht="16.5" customHeight="1" x14ac:dyDescent="0.25">
      <c r="A98" s="85"/>
      <c r="B98" s="86"/>
      <c r="C98" s="132" t="s">
        <v>634</v>
      </c>
      <c r="D98" s="133"/>
      <c r="E98" s="134"/>
      <c r="F98" s="73"/>
      <c r="G98" s="76"/>
    </row>
    <row r="99" spans="1:7" ht="15.75" customHeight="1" x14ac:dyDescent="0.25">
      <c r="A99" s="85"/>
      <c r="B99" s="86"/>
      <c r="C99" s="132" t="s">
        <v>635</v>
      </c>
      <c r="D99" s="133"/>
      <c r="E99" s="134"/>
      <c r="F99" s="73"/>
      <c r="G99" s="76"/>
    </row>
    <row r="100" spans="1:7" ht="16.5" customHeight="1" x14ac:dyDescent="0.25">
      <c r="A100" s="85"/>
      <c r="B100" s="86"/>
      <c r="C100" s="132" t="s">
        <v>636</v>
      </c>
      <c r="D100" s="133"/>
      <c r="E100" s="134"/>
      <c r="F100" s="73"/>
      <c r="G100" s="76"/>
    </row>
    <row r="101" spans="1:7" ht="15.75" customHeight="1" x14ac:dyDescent="0.25">
      <c r="A101" s="85"/>
      <c r="B101" s="86"/>
      <c r="C101" s="132" t="s">
        <v>637</v>
      </c>
      <c r="D101" s="133"/>
      <c r="E101" s="134"/>
      <c r="F101" s="73"/>
      <c r="G101" s="76"/>
    </row>
    <row r="102" spans="1:7" x14ac:dyDescent="0.25">
      <c r="A102" s="79"/>
      <c r="B102" s="80"/>
      <c r="C102" s="111" t="s">
        <v>638</v>
      </c>
      <c r="D102" s="104"/>
      <c r="E102" s="124">
        <f>SUM(E98:E101)/4</f>
        <v>0</v>
      </c>
      <c r="F102" s="73"/>
      <c r="G102" s="92"/>
    </row>
    <row r="103" spans="1:7" ht="15.75" thickBot="1" x14ac:dyDescent="0.3">
      <c r="A103" s="79"/>
      <c r="B103" s="80"/>
      <c r="C103" s="272" t="s">
        <v>48</v>
      </c>
      <c r="D103" s="273"/>
      <c r="E103" s="106" t="str">
        <f>IF(E102&lt;1,"Salah Isi", IF(E102&lt;=4, E102, "Salah Isi"))</f>
        <v>Salah Isi</v>
      </c>
      <c r="F103" s="73"/>
      <c r="G103" s="92"/>
    </row>
    <row r="104" spans="1:7" ht="15.75" thickBot="1" x14ac:dyDescent="0.3">
      <c r="A104" s="79"/>
      <c r="B104" s="80"/>
      <c r="C104" s="101"/>
      <c r="D104" s="101"/>
      <c r="E104" s="102"/>
      <c r="F104" s="73"/>
      <c r="G104" s="92"/>
    </row>
    <row r="105" spans="1:7" ht="49.5" customHeight="1" thickBot="1" x14ac:dyDescent="0.3">
      <c r="A105" s="85">
        <v>23</v>
      </c>
      <c r="B105" s="86" t="s">
        <v>273</v>
      </c>
      <c r="C105" s="278" t="s">
        <v>274</v>
      </c>
      <c r="D105" s="279"/>
      <c r="E105" s="116"/>
      <c r="F105" s="73"/>
      <c r="G105" s="74"/>
    </row>
    <row r="106" spans="1:7" x14ac:dyDescent="0.25">
      <c r="A106" s="79"/>
      <c r="B106" s="80"/>
      <c r="C106" s="135" t="s">
        <v>639</v>
      </c>
      <c r="D106" s="105"/>
      <c r="E106" s="112"/>
      <c r="F106" s="73" t="s">
        <v>640</v>
      </c>
      <c r="G106" s="92"/>
    </row>
    <row r="107" spans="1:7" x14ac:dyDescent="0.25">
      <c r="A107" s="79"/>
      <c r="B107" s="80"/>
      <c r="C107" s="135" t="s">
        <v>641</v>
      </c>
      <c r="D107" s="105"/>
      <c r="E107" s="112"/>
      <c r="F107" s="73" t="s">
        <v>640</v>
      </c>
      <c r="G107" s="92"/>
    </row>
    <row r="108" spans="1:7" x14ac:dyDescent="0.25">
      <c r="A108" s="79"/>
      <c r="B108" s="80"/>
      <c r="C108" s="286" t="s">
        <v>642</v>
      </c>
      <c r="D108" s="281"/>
      <c r="E108" s="124" t="e">
        <f>IF(E106&gt;E107, "Salah Isi", E106/E107)</f>
        <v>#DIV/0!</v>
      </c>
      <c r="F108" s="73"/>
      <c r="G108" s="92"/>
    </row>
    <row r="109" spans="1:7" ht="15.75" thickBot="1" x14ac:dyDescent="0.3">
      <c r="A109" s="79"/>
      <c r="B109" s="80"/>
      <c r="C109" s="272" t="s">
        <v>48</v>
      </c>
      <c r="D109" s="273"/>
      <c r="E109" s="99" t="e">
        <f>IF(E108&lt;=30%,4,40*(1-E108)/7)</f>
        <v>#DIV/0!</v>
      </c>
      <c r="F109" s="73"/>
      <c r="G109" s="92"/>
    </row>
    <row r="110" spans="1:7" ht="15.75" thickBot="1" x14ac:dyDescent="0.3">
      <c r="A110" s="79"/>
      <c r="B110" s="80"/>
      <c r="C110" s="73"/>
      <c r="D110" s="73"/>
      <c r="E110" s="83"/>
      <c r="F110" s="73"/>
      <c r="G110" s="92"/>
    </row>
    <row r="111" spans="1:7" ht="42.75" customHeight="1" thickBot="1" x14ac:dyDescent="0.3">
      <c r="A111" s="85">
        <v>24</v>
      </c>
      <c r="B111" s="86" t="s">
        <v>275</v>
      </c>
      <c r="C111" s="278" t="s">
        <v>276</v>
      </c>
      <c r="D111" s="279"/>
      <c r="E111" s="110"/>
      <c r="F111" s="73"/>
      <c r="G111" s="74" t="s">
        <v>643</v>
      </c>
    </row>
    <row r="112" spans="1:7" x14ac:dyDescent="0.25">
      <c r="A112" s="79"/>
      <c r="B112" s="80"/>
      <c r="C112" s="111" t="s">
        <v>644</v>
      </c>
      <c r="D112" s="104" t="s">
        <v>645</v>
      </c>
      <c r="E112" s="112"/>
      <c r="F112" s="73" t="s">
        <v>640</v>
      </c>
      <c r="G112" s="92"/>
    </row>
    <row r="113" spans="1:7" ht="15.75" thickBot="1" x14ac:dyDescent="0.3">
      <c r="A113" s="79"/>
      <c r="B113" s="80"/>
      <c r="C113" s="272" t="s">
        <v>48</v>
      </c>
      <c r="D113" s="273"/>
      <c r="E113" s="99">
        <f>IF(E112&gt;=15,4,E112/3.75)</f>
        <v>0</v>
      </c>
      <c r="F113" s="73"/>
      <c r="G113" s="92"/>
    </row>
    <row r="114" spans="1:7" ht="15.75" thickBot="1" x14ac:dyDescent="0.3">
      <c r="A114" s="79"/>
      <c r="B114" s="80"/>
      <c r="C114" s="73"/>
      <c r="D114" s="73"/>
      <c r="E114" s="83"/>
      <c r="F114" s="73"/>
      <c r="G114" s="92"/>
    </row>
    <row r="115" spans="1:7" ht="45" customHeight="1" thickBot="1" x14ac:dyDescent="0.3">
      <c r="A115" s="85">
        <v>25</v>
      </c>
      <c r="B115" s="86" t="s">
        <v>277</v>
      </c>
      <c r="C115" s="278" t="s">
        <v>278</v>
      </c>
      <c r="D115" s="279"/>
      <c r="E115" s="110"/>
      <c r="F115" s="73"/>
      <c r="G115" s="74" t="s">
        <v>646</v>
      </c>
    </row>
    <row r="116" spans="1:7" x14ac:dyDescent="0.25">
      <c r="A116" s="79"/>
      <c r="B116" s="80"/>
      <c r="C116" s="111" t="s">
        <v>647</v>
      </c>
      <c r="D116" s="104" t="s">
        <v>648</v>
      </c>
      <c r="E116" s="112"/>
      <c r="F116" s="73" t="s">
        <v>640</v>
      </c>
      <c r="G116" s="92"/>
    </row>
    <row r="117" spans="1:7" ht="15.75" thickBot="1" x14ac:dyDescent="0.3">
      <c r="A117" s="79"/>
      <c r="B117" s="80"/>
      <c r="C117" s="272" t="s">
        <v>48</v>
      </c>
      <c r="D117" s="273"/>
      <c r="E117" s="99">
        <f>IF(E116=0,0,IF(E116&lt;2,1+1.5*E116,4))</f>
        <v>0</v>
      </c>
      <c r="F117" s="73"/>
      <c r="G117" s="92"/>
    </row>
    <row r="118" spans="1:7" ht="15.75" thickBot="1" x14ac:dyDescent="0.3">
      <c r="A118" s="79"/>
      <c r="B118" s="80"/>
      <c r="C118" s="73"/>
      <c r="D118" s="73"/>
      <c r="E118" s="83"/>
      <c r="F118" s="73"/>
      <c r="G118" s="92"/>
    </row>
    <row r="119" spans="1:7" ht="47.25" customHeight="1" thickBot="1" x14ac:dyDescent="0.3">
      <c r="A119" s="85">
        <v>26</v>
      </c>
      <c r="B119" s="86" t="s">
        <v>279</v>
      </c>
      <c r="C119" s="278" t="s">
        <v>280</v>
      </c>
      <c r="D119" s="279"/>
      <c r="E119" s="110"/>
      <c r="F119" s="73"/>
      <c r="G119" s="74" t="s">
        <v>649</v>
      </c>
    </row>
    <row r="120" spans="1:7" x14ac:dyDescent="0.25">
      <c r="A120" s="79"/>
      <c r="B120" s="80"/>
      <c r="C120" s="111" t="s">
        <v>650</v>
      </c>
      <c r="D120" s="104" t="s">
        <v>651</v>
      </c>
      <c r="E120" s="112"/>
      <c r="F120" s="73" t="s">
        <v>640</v>
      </c>
      <c r="G120" s="92"/>
    </row>
    <row r="121" spans="1:7" ht="15.75" thickBot="1" x14ac:dyDescent="0.3">
      <c r="A121" s="79"/>
      <c r="B121" s="80"/>
      <c r="C121" s="272" t="s">
        <v>48</v>
      </c>
      <c r="D121" s="273"/>
      <c r="E121" s="99">
        <f>IF(E120=0,0,IF(E120&lt;4,1+0.75*E120,4))</f>
        <v>0</v>
      </c>
      <c r="F121" s="73"/>
      <c r="G121" s="92"/>
    </row>
    <row r="122" spans="1:7" ht="15.75" thickBot="1" x14ac:dyDescent="0.3">
      <c r="A122" s="79"/>
      <c r="B122" s="80"/>
      <c r="C122" s="136"/>
      <c r="D122" s="137"/>
      <c r="E122" s="102"/>
      <c r="F122" s="73"/>
      <c r="G122" s="92"/>
    </row>
    <row r="123" spans="1:7" ht="41.25" customHeight="1" thickBot="1" x14ac:dyDescent="0.3">
      <c r="A123" s="85">
        <v>27</v>
      </c>
      <c r="B123" s="86" t="s">
        <v>281</v>
      </c>
      <c r="C123" s="278" t="s">
        <v>282</v>
      </c>
      <c r="D123" s="279"/>
      <c r="E123" s="107"/>
      <c r="F123" s="73"/>
      <c r="G123" s="74" t="s">
        <v>652</v>
      </c>
    </row>
    <row r="124" spans="1:7" ht="15.75" thickBot="1" x14ac:dyDescent="0.3">
      <c r="A124" s="79"/>
      <c r="B124" s="80"/>
      <c r="C124" s="272" t="s">
        <v>48</v>
      </c>
      <c r="D124" s="273"/>
      <c r="E124" s="99" t="str">
        <f>IF(OR(E123&lt;1,E123&gt;4),"Salah Isi", E123)</f>
        <v>Salah Isi</v>
      </c>
      <c r="F124" s="73"/>
      <c r="G124" s="92"/>
    </row>
    <row r="125" spans="1:7" ht="15.75" thickBot="1" x14ac:dyDescent="0.3">
      <c r="A125" s="79"/>
      <c r="B125" s="80"/>
      <c r="C125" s="136"/>
      <c r="D125" s="137"/>
      <c r="E125" s="102"/>
      <c r="F125" s="73"/>
      <c r="G125" s="92"/>
    </row>
    <row r="126" spans="1:7" ht="42.75" customHeight="1" thickBot="1" x14ac:dyDescent="0.3">
      <c r="A126" s="85">
        <v>28</v>
      </c>
      <c r="B126" s="86" t="s">
        <v>283</v>
      </c>
      <c r="C126" s="284" t="s">
        <v>653</v>
      </c>
      <c r="D126" s="285"/>
      <c r="E126" s="107"/>
      <c r="F126" s="73"/>
      <c r="G126" s="74" t="s">
        <v>654</v>
      </c>
    </row>
    <row r="127" spans="1:7" ht="15.75" thickBot="1" x14ac:dyDescent="0.3">
      <c r="A127" s="79"/>
      <c r="B127" s="80"/>
      <c r="C127" s="272" t="s">
        <v>48</v>
      </c>
      <c r="D127" s="273"/>
      <c r="E127" s="99">
        <f>IF(E124=4,4, IF(E126&lt;0, "Salah Isi", IF(E126&lt;=4, E126, "Salah Isi")))</f>
        <v>0</v>
      </c>
      <c r="F127" s="73"/>
      <c r="G127" s="92"/>
    </row>
    <row r="128" spans="1:7" ht="15.75" thickBot="1" x14ac:dyDescent="0.3">
      <c r="A128" s="79"/>
      <c r="B128" s="80"/>
      <c r="C128" s="136"/>
      <c r="D128" s="137"/>
      <c r="E128" s="102"/>
      <c r="F128" s="73"/>
      <c r="G128" s="92"/>
    </row>
    <row r="129" spans="1:7" ht="47.25" customHeight="1" thickBot="1" x14ac:dyDescent="0.3">
      <c r="A129" s="85">
        <v>29</v>
      </c>
      <c r="B129" s="86" t="s">
        <v>285</v>
      </c>
      <c r="C129" s="278" t="s">
        <v>286</v>
      </c>
      <c r="D129" s="279"/>
      <c r="E129" s="107"/>
      <c r="F129" s="73"/>
      <c r="G129" s="74" t="s">
        <v>655</v>
      </c>
    </row>
    <row r="130" spans="1:7" ht="15.75" thickBot="1" x14ac:dyDescent="0.3">
      <c r="A130" s="79"/>
      <c r="B130" s="80"/>
      <c r="C130" s="272" t="s">
        <v>48</v>
      </c>
      <c r="D130" s="273"/>
      <c r="E130" s="99">
        <f>IF(E129&lt;0, "Salah Isi", IF(E129&lt;=4, E129, "Salah Isi"))</f>
        <v>0</v>
      </c>
      <c r="F130" s="73"/>
      <c r="G130" s="92"/>
    </row>
    <row r="131" spans="1:7" ht="15.75" thickBot="1" x14ac:dyDescent="0.3">
      <c r="A131" s="79"/>
      <c r="B131" s="80"/>
      <c r="C131" s="136"/>
      <c r="D131" s="137"/>
      <c r="E131" s="102"/>
      <c r="F131" s="73"/>
      <c r="G131" s="92"/>
    </row>
    <row r="132" spans="1:7" ht="36" customHeight="1" thickBot="1" x14ac:dyDescent="0.3">
      <c r="A132" s="85">
        <v>30</v>
      </c>
      <c r="B132" s="86" t="s">
        <v>196</v>
      </c>
      <c r="C132" s="278" t="s">
        <v>287</v>
      </c>
      <c r="D132" s="279"/>
      <c r="E132" s="107"/>
      <c r="F132" s="73"/>
      <c r="G132" s="74" t="s">
        <v>656</v>
      </c>
    </row>
    <row r="133" spans="1:7" ht="15.75" thickBot="1" x14ac:dyDescent="0.3">
      <c r="A133" s="79"/>
      <c r="B133" s="80"/>
      <c r="C133" s="272" t="s">
        <v>48</v>
      </c>
      <c r="D133" s="273"/>
      <c r="E133" s="99">
        <f>IF(E132&lt;0, "Salah Isi", IF(E132&lt;=4, E132, "Salah Isi"))</f>
        <v>0</v>
      </c>
      <c r="F133" s="73"/>
      <c r="G133" s="92"/>
    </row>
    <row r="134" spans="1:7" ht="15.75" thickBot="1" x14ac:dyDescent="0.3">
      <c r="A134" s="79"/>
      <c r="B134" s="80"/>
      <c r="C134" s="136"/>
      <c r="D134" s="137"/>
      <c r="E134" s="102"/>
      <c r="F134" s="73"/>
      <c r="G134" s="92"/>
    </row>
    <row r="135" spans="1:7" ht="46.5" customHeight="1" thickBot="1" x14ac:dyDescent="0.3">
      <c r="A135" s="85">
        <v>31</v>
      </c>
      <c r="B135" s="86" t="s">
        <v>200</v>
      </c>
      <c r="C135" s="270" t="s">
        <v>657</v>
      </c>
      <c r="D135" s="271"/>
      <c r="E135" s="107"/>
      <c r="F135" s="73"/>
      <c r="G135" s="74" t="s">
        <v>658</v>
      </c>
    </row>
    <row r="136" spans="1:7" ht="15.75" thickBot="1" x14ac:dyDescent="0.3">
      <c r="A136" s="79"/>
      <c r="B136" s="80"/>
      <c r="C136" s="272" t="s">
        <v>48</v>
      </c>
      <c r="D136" s="273"/>
      <c r="E136" s="99" t="str">
        <f>IF(OR(E135&lt;1,E135&gt;4),"Salah Isi", E135)</f>
        <v>Salah Isi</v>
      </c>
      <c r="F136" s="73"/>
      <c r="G136" s="92"/>
    </row>
    <row r="137" spans="1:7" ht="15.75" thickBot="1" x14ac:dyDescent="0.3">
      <c r="A137" s="79"/>
      <c r="B137" s="80"/>
      <c r="C137" s="136"/>
      <c r="D137" s="137"/>
      <c r="E137" s="102"/>
      <c r="F137" s="73"/>
      <c r="G137" s="92"/>
    </row>
    <row r="138" spans="1:7" ht="25.5" customHeight="1" thickBot="1" x14ac:dyDescent="0.3">
      <c r="A138" s="85">
        <v>32</v>
      </c>
      <c r="B138" s="86" t="s">
        <v>202</v>
      </c>
      <c r="C138" s="278" t="s">
        <v>289</v>
      </c>
      <c r="D138" s="279"/>
      <c r="E138" s="107"/>
      <c r="F138" s="73"/>
      <c r="G138" s="74" t="s">
        <v>656</v>
      </c>
    </row>
    <row r="139" spans="1:7" ht="15.75" thickBot="1" x14ac:dyDescent="0.3">
      <c r="A139" s="79"/>
      <c r="B139" s="80"/>
      <c r="C139" s="272" t="s">
        <v>48</v>
      </c>
      <c r="D139" s="273"/>
      <c r="E139" s="99">
        <f>IF(E136=4,4,IF(E138&lt;0, "Salah Isi", IF(E138&lt;=4, E138, "Salah Isi")))</f>
        <v>0</v>
      </c>
      <c r="F139" s="73"/>
      <c r="G139" s="92"/>
    </row>
    <row r="140" spans="1:7" ht="15.75" thickBot="1" x14ac:dyDescent="0.3">
      <c r="A140" s="79"/>
      <c r="B140" s="80"/>
      <c r="C140" s="136"/>
      <c r="D140" s="137"/>
      <c r="E140" s="102"/>
      <c r="F140" s="73"/>
      <c r="G140" s="92"/>
    </row>
    <row r="141" spans="1:7" ht="44.25" customHeight="1" thickBot="1" x14ac:dyDescent="0.3">
      <c r="A141" s="85">
        <v>33</v>
      </c>
      <c r="B141" s="86" t="s">
        <v>206</v>
      </c>
      <c r="C141" s="270" t="s">
        <v>659</v>
      </c>
      <c r="D141" s="271"/>
      <c r="E141" s="107"/>
      <c r="F141" s="73"/>
      <c r="G141" s="74" t="s">
        <v>660</v>
      </c>
    </row>
    <row r="142" spans="1:7" ht="15.75" thickBot="1" x14ac:dyDescent="0.3">
      <c r="A142" s="79"/>
      <c r="B142" s="80"/>
      <c r="C142" s="272" t="s">
        <v>48</v>
      </c>
      <c r="D142" s="273"/>
      <c r="E142" s="99">
        <f>IF(E141&lt;0, "Salah Isi", IF(E141&lt;=4, E141, "Salah Isi"))</f>
        <v>0</v>
      </c>
      <c r="F142" s="73"/>
      <c r="G142" s="92"/>
    </row>
    <row r="143" spans="1:7" ht="15.75" thickBot="1" x14ac:dyDescent="0.3">
      <c r="A143" s="79"/>
      <c r="B143" s="80"/>
      <c r="C143" s="136"/>
      <c r="D143" s="137"/>
      <c r="E143" s="102"/>
      <c r="F143" s="73"/>
      <c r="G143" s="92"/>
    </row>
    <row r="144" spans="1:7" ht="40.5" customHeight="1" thickBot="1" x14ac:dyDescent="0.3">
      <c r="A144" s="85">
        <v>34</v>
      </c>
      <c r="B144" s="86" t="s">
        <v>208</v>
      </c>
      <c r="C144" s="270" t="s">
        <v>661</v>
      </c>
      <c r="D144" s="271"/>
      <c r="E144" s="107"/>
      <c r="F144" s="73"/>
      <c r="G144" s="74" t="s">
        <v>660</v>
      </c>
    </row>
    <row r="145" spans="1:7" ht="15.75" thickBot="1" x14ac:dyDescent="0.3">
      <c r="A145" s="79"/>
      <c r="B145" s="80"/>
      <c r="C145" s="272" t="s">
        <v>48</v>
      </c>
      <c r="D145" s="273"/>
      <c r="E145" s="99" t="str">
        <f>IF(OR(E144&lt;1,E144&gt;4),"Salah Isi",E144)</f>
        <v>Salah Isi</v>
      </c>
      <c r="F145" s="73"/>
      <c r="G145" s="92"/>
    </row>
    <row r="146" spans="1:7" ht="15.75" thickBot="1" x14ac:dyDescent="0.3">
      <c r="A146" s="79"/>
      <c r="B146" s="80"/>
      <c r="C146" s="136"/>
      <c r="D146" s="137"/>
      <c r="E146" s="102"/>
      <c r="F146" s="73"/>
      <c r="G146" s="92"/>
    </row>
    <row r="147" spans="1:7" ht="41.25" customHeight="1" thickBot="1" x14ac:dyDescent="0.3">
      <c r="A147" s="85">
        <v>35</v>
      </c>
      <c r="B147" s="86" t="s">
        <v>210</v>
      </c>
      <c r="C147" s="270" t="s">
        <v>662</v>
      </c>
      <c r="D147" s="271"/>
      <c r="E147" s="107"/>
      <c r="F147" s="73"/>
      <c r="G147" s="74" t="s">
        <v>660</v>
      </c>
    </row>
    <row r="148" spans="1:7" ht="18.75" customHeight="1" thickBot="1" x14ac:dyDescent="0.3">
      <c r="A148" s="85"/>
      <c r="B148" s="86"/>
      <c r="C148" s="272" t="s">
        <v>48</v>
      </c>
      <c r="D148" s="273"/>
      <c r="E148" s="99">
        <f>IF(E147&lt;0, "Salah Isi", IF(E147&lt;=4, E147, "Salah Isi"))</f>
        <v>0</v>
      </c>
      <c r="F148" s="73"/>
      <c r="G148" s="92"/>
    </row>
    <row r="149" spans="1:7" ht="18" customHeight="1" thickBot="1" x14ac:dyDescent="0.3">
      <c r="A149" s="85"/>
      <c r="B149" s="86"/>
      <c r="C149" s="138"/>
      <c r="D149" s="138"/>
      <c r="E149" s="102"/>
      <c r="F149" s="73"/>
      <c r="G149" s="92"/>
    </row>
    <row r="150" spans="1:7" ht="47.25" customHeight="1" thickBot="1" x14ac:dyDescent="0.3">
      <c r="A150" s="85">
        <v>36</v>
      </c>
      <c r="B150" s="86" t="s">
        <v>218</v>
      </c>
      <c r="C150" s="278" t="s">
        <v>293</v>
      </c>
      <c r="D150" s="279"/>
      <c r="E150" s="116"/>
      <c r="F150" s="73"/>
      <c r="G150" s="74" t="s">
        <v>663</v>
      </c>
    </row>
    <row r="151" spans="1:7" ht="18" customHeight="1" x14ac:dyDescent="0.25">
      <c r="A151" s="79"/>
      <c r="B151" s="80"/>
      <c r="C151" s="111" t="s">
        <v>664</v>
      </c>
      <c r="D151" s="104"/>
      <c r="E151" s="112"/>
      <c r="F151" s="73"/>
      <c r="G151" s="92"/>
    </row>
    <row r="152" spans="1:7" x14ac:dyDescent="0.25">
      <c r="A152" s="79"/>
      <c r="B152" s="80"/>
      <c r="C152" s="128" t="s">
        <v>665</v>
      </c>
      <c r="D152" s="104"/>
      <c r="E152" s="112"/>
      <c r="F152" s="73"/>
      <c r="G152" s="92"/>
    </row>
    <row r="153" spans="1:7" x14ac:dyDescent="0.25">
      <c r="A153" s="79"/>
      <c r="B153" s="80"/>
      <c r="C153" s="111" t="s">
        <v>666</v>
      </c>
      <c r="D153" s="104"/>
      <c r="E153" s="112"/>
      <c r="F153" s="73"/>
      <c r="G153" s="92"/>
    </row>
    <row r="154" spans="1:7" x14ac:dyDescent="0.25">
      <c r="A154" s="79"/>
      <c r="B154" s="80"/>
      <c r="C154" s="128" t="s">
        <v>667</v>
      </c>
      <c r="D154" s="104"/>
      <c r="E154" s="112"/>
      <c r="F154" s="73"/>
      <c r="G154" s="92"/>
    </row>
    <row r="155" spans="1:7" x14ac:dyDescent="0.25">
      <c r="A155" s="79"/>
      <c r="B155" s="80"/>
      <c r="C155" s="128" t="s">
        <v>668</v>
      </c>
      <c r="D155" s="104"/>
      <c r="E155" s="115">
        <f>IF((E151+E152+E153+E154)&gt;12,"Salah",(E151+2*E152+3*E153+4*E154)/12)</f>
        <v>0</v>
      </c>
      <c r="F155" s="73" t="str">
        <f>IF((E151+E152+E153+E154)&gt;12,"&lt;-- Karena jumlahnya melebihi 12","")</f>
        <v/>
      </c>
      <c r="G155" s="92"/>
    </row>
    <row r="156" spans="1:7" ht="15.75" thickBot="1" x14ac:dyDescent="0.3">
      <c r="A156" s="79"/>
      <c r="B156" s="80"/>
      <c r="C156" s="129" t="s">
        <v>48</v>
      </c>
      <c r="D156" s="130"/>
      <c r="E156" s="99">
        <f>E155</f>
        <v>0</v>
      </c>
      <c r="F156" s="73"/>
      <c r="G156" s="92"/>
    </row>
    <row r="157" spans="1:7" x14ac:dyDescent="0.25">
      <c r="A157" s="79"/>
      <c r="B157" s="80"/>
      <c r="C157" s="139" t="s">
        <v>669</v>
      </c>
      <c r="D157" s="140"/>
      <c r="E157" s="141"/>
      <c r="F157" s="73"/>
      <c r="G157" s="92"/>
    </row>
    <row r="158" spans="1:7" ht="15.75" thickBot="1" x14ac:dyDescent="0.3">
      <c r="A158" s="79"/>
      <c r="B158" s="80"/>
      <c r="C158" s="73"/>
      <c r="D158" s="73"/>
      <c r="E158" s="83"/>
      <c r="F158" s="73"/>
      <c r="G158" s="92"/>
    </row>
    <row r="159" spans="1:7" ht="45.75" customHeight="1" thickBot="1" x14ac:dyDescent="0.3">
      <c r="A159" s="85">
        <v>37</v>
      </c>
      <c r="B159" s="86" t="s">
        <v>220</v>
      </c>
      <c r="C159" s="278" t="s">
        <v>294</v>
      </c>
      <c r="D159" s="279"/>
      <c r="E159" s="107"/>
      <c r="F159" s="73"/>
      <c r="G159" s="74" t="s">
        <v>670</v>
      </c>
    </row>
    <row r="160" spans="1:7" ht="15.75" thickBot="1" x14ac:dyDescent="0.3">
      <c r="A160" s="79"/>
      <c r="B160" s="80"/>
      <c r="C160" s="274" t="s">
        <v>48</v>
      </c>
      <c r="D160" s="275"/>
      <c r="E160" s="99" t="str">
        <f>IF(OR(E159&lt;1,E159&gt;4),"Salah Isi", E159)</f>
        <v>Salah Isi</v>
      </c>
      <c r="F160" s="73"/>
      <c r="G160" s="92"/>
    </row>
    <row r="161" spans="1:7" ht="15.75" thickBot="1" x14ac:dyDescent="0.3">
      <c r="A161" s="79"/>
      <c r="B161" s="80"/>
      <c r="C161" s="73"/>
      <c r="D161" s="73"/>
      <c r="E161" s="83"/>
      <c r="F161" s="73"/>
      <c r="G161" s="92"/>
    </row>
    <row r="162" spans="1:7" ht="42" customHeight="1" thickBot="1" x14ac:dyDescent="0.3">
      <c r="A162" s="85">
        <v>38</v>
      </c>
      <c r="B162" s="86" t="s">
        <v>295</v>
      </c>
      <c r="C162" s="278" t="s">
        <v>296</v>
      </c>
      <c r="D162" s="279"/>
      <c r="E162" s="107"/>
      <c r="F162" s="73"/>
      <c r="G162" s="74" t="s">
        <v>656</v>
      </c>
    </row>
    <row r="163" spans="1:7" ht="15.75" thickBot="1" x14ac:dyDescent="0.3">
      <c r="A163" s="79"/>
      <c r="B163" s="80"/>
      <c r="C163" s="274" t="s">
        <v>48</v>
      </c>
      <c r="D163" s="275"/>
      <c r="E163" s="99">
        <f>IF(E162&lt;0, "Salah Isi", IF(E162&lt;=4, E162, "Salah Isi"))</f>
        <v>0</v>
      </c>
      <c r="F163" s="73"/>
      <c r="G163" s="92"/>
    </row>
    <row r="164" spans="1:7" ht="15.75" thickBot="1" x14ac:dyDescent="0.3">
      <c r="A164" s="79"/>
      <c r="B164" s="80"/>
      <c r="C164" s="73"/>
      <c r="D164" s="73"/>
      <c r="E164" s="83"/>
      <c r="F164" s="73"/>
      <c r="G164" s="92"/>
    </row>
    <row r="165" spans="1:7" ht="41.25" customHeight="1" thickBot="1" x14ac:dyDescent="0.3">
      <c r="A165" s="85">
        <v>39</v>
      </c>
      <c r="B165" s="86" t="s">
        <v>297</v>
      </c>
      <c r="C165" s="270" t="s">
        <v>298</v>
      </c>
      <c r="D165" s="271"/>
      <c r="E165" s="110"/>
      <c r="F165" s="73"/>
      <c r="G165" s="74" t="s">
        <v>671</v>
      </c>
    </row>
    <row r="166" spans="1:7" x14ac:dyDescent="0.25">
      <c r="A166" s="79"/>
      <c r="B166" s="80"/>
      <c r="C166" s="287" t="s">
        <v>672</v>
      </c>
      <c r="D166" s="288"/>
      <c r="E166" s="112"/>
      <c r="F166" s="73"/>
      <c r="G166" s="92"/>
    </row>
    <row r="167" spans="1:7" x14ac:dyDescent="0.25">
      <c r="A167" s="79"/>
      <c r="B167" s="80"/>
      <c r="C167" s="286" t="s">
        <v>673</v>
      </c>
      <c r="D167" s="281"/>
      <c r="E167" s="112"/>
      <c r="F167" s="73"/>
      <c r="G167" s="92"/>
    </row>
    <row r="168" spans="1:7" x14ac:dyDescent="0.25">
      <c r="A168" s="79"/>
      <c r="B168" s="80"/>
      <c r="C168" s="286" t="s">
        <v>674</v>
      </c>
      <c r="D168" s="281"/>
      <c r="E168" s="115" t="e">
        <f>E166/E167</f>
        <v>#DIV/0!</v>
      </c>
      <c r="F168" s="73"/>
      <c r="G168" s="92"/>
    </row>
    <row r="169" spans="1:7" ht="15.75" thickBot="1" x14ac:dyDescent="0.3">
      <c r="A169" s="79"/>
      <c r="B169" s="80"/>
      <c r="C169" s="129" t="s">
        <v>48</v>
      </c>
      <c r="D169" s="130"/>
      <c r="E169" s="99" t="e">
        <f>IF(E168&lt;0,"Salah Isi",IF(E168&lt;=4,E168,"Salah Isi"))</f>
        <v>#DIV/0!</v>
      </c>
      <c r="F169" s="142"/>
      <c r="G169" s="92"/>
    </row>
    <row r="170" spans="1:7" ht="15.75" thickBot="1" x14ac:dyDescent="0.3">
      <c r="A170" s="79"/>
      <c r="B170" s="80"/>
      <c r="C170" s="73"/>
      <c r="D170" s="73"/>
      <c r="E170" s="83"/>
      <c r="F170" s="73"/>
      <c r="G170" s="92"/>
    </row>
    <row r="171" spans="1:7" ht="43.5" customHeight="1" thickBot="1" x14ac:dyDescent="0.3">
      <c r="A171" s="85">
        <v>40</v>
      </c>
      <c r="B171" s="86" t="s">
        <v>299</v>
      </c>
      <c r="C171" s="278" t="s">
        <v>300</v>
      </c>
      <c r="D171" s="279"/>
      <c r="E171" s="110"/>
      <c r="F171" s="73"/>
      <c r="G171" s="74" t="s">
        <v>675</v>
      </c>
    </row>
    <row r="172" spans="1:7" x14ac:dyDescent="0.25">
      <c r="A172" s="79"/>
      <c r="B172" s="80"/>
      <c r="C172" s="287" t="s">
        <v>672</v>
      </c>
      <c r="D172" s="288"/>
      <c r="E172" s="112"/>
      <c r="F172" s="73"/>
      <c r="G172" s="92"/>
    </row>
    <row r="173" spans="1:7" x14ac:dyDescent="0.25">
      <c r="A173" s="83"/>
      <c r="B173" s="143"/>
      <c r="C173" s="286" t="s">
        <v>673</v>
      </c>
      <c r="D173" s="281"/>
      <c r="E173" s="112"/>
      <c r="F173" s="73"/>
      <c r="G173" s="92"/>
    </row>
    <row r="174" spans="1:7" x14ac:dyDescent="0.25">
      <c r="A174" s="83"/>
      <c r="B174" s="143"/>
      <c r="C174" s="286" t="s">
        <v>674</v>
      </c>
      <c r="D174" s="281"/>
      <c r="E174" s="115" t="e">
        <f>E172/E173</f>
        <v>#DIV/0!</v>
      </c>
      <c r="F174" s="73"/>
      <c r="G174" s="92"/>
    </row>
    <row r="175" spans="1:7" ht="15.75" thickBot="1" x14ac:dyDescent="0.3">
      <c r="A175" s="83"/>
      <c r="B175" s="143"/>
      <c r="C175" s="272" t="s">
        <v>48</v>
      </c>
      <c r="D175" s="273"/>
      <c r="E175" s="99" t="e">
        <f>IF(E174&lt;0,"Salah Isi",IF(E174&lt;=4,E174,"Salah Isi"))</f>
        <v>#DIV/0!</v>
      </c>
      <c r="F175" s="73"/>
      <c r="G175" s="92"/>
    </row>
    <row r="176" spans="1:7" ht="15.75" thickBot="1" x14ac:dyDescent="0.3">
      <c r="A176" s="83"/>
      <c r="B176" s="143"/>
      <c r="C176" s="73"/>
      <c r="D176" s="73"/>
      <c r="E176" s="83"/>
      <c r="F176" s="73"/>
      <c r="G176" s="92"/>
    </row>
    <row r="177" spans="1:7" ht="42.75" customHeight="1" thickBot="1" x14ac:dyDescent="0.3">
      <c r="A177" s="85">
        <v>41</v>
      </c>
      <c r="B177" s="86" t="s">
        <v>228</v>
      </c>
      <c r="C177" s="278" t="s">
        <v>301</v>
      </c>
      <c r="D177" s="279"/>
      <c r="E177" s="107"/>
      <c r="F177" s="73"/>
      <c r="G177" s="74" t="s">
        <v>676</v>
      </c>
    </row>
    <row r="178" spans="1:7" s="149" customFormat="1" ht="17.25" customHeight="1" x14ac:dyDescent="0.25">
      <c r="A178" s="144"/>
      <c r="B178" s="145"/>
      <c r="C178" s="146">
        <v>0</v>
      </c>
      <c r="D178" s="147" t="s">
        <v>677</v>
      </c>
      <c r="E178" s="148"/>
      <c r="F178" s="142"/>
      <c r="G178" s="76"/>
    </row>
    <row r="179" spans="1:7" s="149" customFormat="1" ht="28.5" customHeight="1" x14ac:dyDescent="0.25">
      <c r="A179" s="144"/>
      <c r="B179" s="145"/>
      <c r="C179" s="146">
        <v>1</v>
      </c>
      <c r="D179" s="150" t="s">
        <v>678</v>
      </c>
      <c r="E179" s="148"/>
      <c r="F179" s="142"/>
      <c r="G179" s="76"/>
    </row>
    <row r="180" spans="1:7" s="149" customFormat="1" ht="28.5" customHeight="1" x14ac:dyDescent="0.25">
      <c r="A180" s="144"/>
      <c r="B180" s="145"/>
      <c r="C180" s="146">
        <v>2</v>
      </c>
      <c r="D180" s="151" t="s">
        <v>679</v>
      </c>
      <c r="E180" s="148"/>
      <c r="F180" s="142"/>
      <c r="G180" s="76"/>
    </row>
    <row r="181" spans="1:7" s="149" customFormat="1" ht="28.5" customHeight="1" x14ac:dyDescent="0.25">
      <c r="A181" s="144"/>
      <c r="B181" s="145"/>
      <c r="C181" s="146">
        <v>3</v>
      </c>
      <c r="D181" s="150" t="s">
        <v>680</v>
      </c>
      <c r="E181" s="148"/>
      <c r="F181" s="142"/>
      <c r="G181" s="76"/>
    </row>
    <row r="182" spans="1:7" s="149" customFormat="1" ht="27.75" customHeight="1" x14ac:dyDescent="0.25">
      <c r="A182" s="144"/>
      <c r="B182" s="145"/>
      <c r="C182" s="146">
        <v>4</v>
      </c>
      <c r="D182" s="150" t="s">
        <v>681</v>
      </c>
      <c r="E182" s="148"/>
      <c r="F182" s="142"/>
      <c r="G182" s="76"/>
    </row>
    <row r="183" spans="1:7" ht="15.75" thickBot="1" x14ac:dyDescent="0.3">
      <c r="A183" s="83"/>
      <c r="B183" s="143"/>
      <c r="C183" s="274" t="s">
        <v>48</v>
      </c>
      <c r="D183" s="275"/>
      <c r="E183" s="99">
        <f>IF(E177&lt;0, "Salah Isi", IF(E177&lt;=4, E177, "Salah Isi"))</f>
        <v>0</v>
      </c>
      <c r="F183" s="73"/>
      <c r="G183" s="92"/>
    </row>
    <row r="184" spans="1:7" ht="15.75" thickBot="1" x14ac:dyDescent="0.3">
      <c r="A184" s="83"/>
      <c r="B184" s="143"/>
      <c r="C184" s="73"/>
      <c r="D184" s="73"/>
      <c r="E184" s="83"/>
      <c r="F184" s="73"/>
      <c r="G184" s="92"/>
    </row>
    <row r="185" spans="1:7" ht="36" customHeight="1" thickBot="1" x14ac:dyDescent="0.3">
      <c r="A185" s="85">
        <v>42</v>
      </c>
      <c r="B185" s="86" t="s">
        <v>302</v>
      </c>
      <c r="C185" s="278" t="s">
        <v>682</v>
      </c>
      <c r="D185" s="279"/>
      <c r="E185" s="110"/>
      <c r="F185" s="73"/>
      <c r="G185" s="74" t="s">
        <v>683</v>
      </c>
    </row>
    <row r="186" spans="1:7" s="149" customFormat="1" ht="105.75" customHeight="1" x14ac:dyDescent="0.25">
      <c r="A186" s="144"/>
      <c r="B186" s="145"/>
      <c r="C186" s="289" t="s">
        <v>684</v>
      </c>
      <c r="D186" s="290"/>
      <c r="E186" s="152"/>
      <c r="F186" s="142"/>
      <c r="G186" s="76"/>
    </row>
    <row r="187" spans="1:7" x14ac:dyDescent="0.25">
      <c r="A187" s="83"/>
      <c r="B187" s="143"/>
      <c r="C187" s="287" t="s">
        <v>672</v>
      </c>
      <c r="D187" s="288"/>
      <c r="E187" s="112">
        <v>0</v>
      </c>
      <c r="F187" s="73"/>
      <c r="G187" s="92"/>
    </row>
    <row r="188" spans="1:7" x14ac:dyDescent="0.25">
      <c r="A188" s="83"/>
      <c r="B188" s="143"/>
      <c r="C188" s="286" t="s">
        <v>673</v>
      </c>
      <c r="D188" s="281"/>
      <c r="E188" s="112">
        <v>0</v>
      </c>
      <c r="F188" s="73"/>
      <c r="G188" s="92"/>
    </row>
    <row r="189" spans="1:7" x14ac:dyDescent="0.25">
      <c r="A189" s="83"/>
      <c r="B189" s="143"/>
      <c r="C189" s="286" t="s">
        <v>674</v>
      </c>
      <c r="D189" s="281"/>
      <c r="E189" s="115" t="e">
        <f>E187/E188</f>
        <v>#DIV/0!</v>
      </c>
      <c r="F189" s="73"/>
      <c r="G189" s="92"/>
    </row>
    <row r="190" spans="1:7" ht="15.75" thickBot="1" x14ac:dyDescent="0.3">
      <c r="A190" s="83"/>
      <c r="B190" s="143"/>
      <c r="C190" s="272" t="s">
        <v>48</v>
      </c>
      <c r="D190" s="273"/>
      <c r="E190" s="99" t="e">
        <f>IF(E189&lt;0,"Salah Isi",IF(E189&lt;=4,E189,"Salah Isi"))</f>
        <v>#DIV/0!</v>
      </c>
      <c r="F190" s="73"/>
      <c r="G190" s="92"/>
    </row>
    <row r="191" spans="1:7" ht="15.75" thickBot="1" x14ac:dyDescent="0.3">
      <c r="A191" s="83"/>
      <c r="B191" s="143"/>
      <c r="C191" s="73"/>
      <c r="D191" s="73"/>
      <c r="E191" s="83"/>
      <c r="F191" s="73"/>
      <c r="G191" s="92"/>
    </row>
    <row r="192" spans="1:7" ht="36" customHeight="1" thickBot="1" x14ac:dyDescent="0.3">
      <c r="A192" s="85">
        <v>43</v>
      </c>
      <c r="B192" s="86" t="s">
        <v>304</v>
      </c>
      <c r="C192" s="291" t="s">
        <v>685</v>
      </c>
      <c r="D192" s="292"/>
      <c r="E192" s="110"/>
      <c r="F192" s="73"/>
      <c r="G192" s="74" t="s">
        <v>686</v>
      </c>
    </row>
    <row r="193" spans="1:7" s="149" customFormat="1" ht="142.5" customHeight="1" x14ac:dyDescent="0.25">
      <c r="A193" s="144"/>
      <c r="B193" s="145"/>
      <c r="C193" s="289" t="s">
        <v>687</v>
      </c>
      <c r="D193" s="290"/>
      <c r="E193" s="152"/>
      <c r="F193" s="142"/>
      <c r="G193" s="76"/>
    </row>
    <row r="194" spans="1:7" x14ac:dyDescent="0.25">
      <c r="A194" s="83"/>
      <c r="B194" s="143"/>
      <c r="C194" s="287" t="s">
        <v>672</v>
      </c>
      <c r="D194" s="288"/>
      <c r="E194" s="112"/>
      <c r="F194" s="73"/>
      <c r="G194" s="92"/>
    </row>
    <row r="195" spans="1:7" x14ac:dyDescent="0.25">
      <c r="A195" s="83"/>
      <c r="B195" s="143"/>
      <c r="C195" s="286" t="s">
        <v>673</v>
      </c>
      <c r="D195" s="281"/>
      <c r="E195" s="112"/>
      <c r="F195" s="73"/>
      <c r="G195" s="92"/>
    </row>
    <row r="196" spans="1:7" x14ac:dyDescent="0.25">
      <c r="A196" s="83"/>
      <c r="B196" s="143"/>
      <c r="C196" s="286" t="s">
        <v>674</v>
      </c>
      <c r="D196" s="281"/>
      <c r="E196" s="115" t="e">
        <f>E194/E195</f>
        <v>#DIV/0!</v>
      </c>
      <c r="F196" s="73"/>
      <c r="G196" s="92"/>
    </row>
    <row r="197" spans="1:7" ht="15.75" thickBot="1" x14ac:dyDescent="0.3">
      <c r="A197" s="83"/>
      <c r="B197" s="143"/>
      <c r="C197" s="272" t="s">
        <v>48</v>
      </c>
      <c r="D197" s="273"/>
      <c r="E197" s="99" t="e">
        <f>IF(E196&lt;0,"Salah Isi",IF(E196&lt;=4,E196,"Salah Isi"))</f>
        <v>#DIV/0!</v>
      </c>
      <c r="F197" s="73"/>
      <c r="G197" s="92"/>
    </row>
    <row r="198" spans="1:7" ht="15.75" thickBot="1" x14ac:dyDescent="0.3">
      <c r="A198" s="83"/>
      <c r="B198" s="143"/>
      <c r="C198" s="73"/>
      <c r="D198" s="73"/>
      <c r="E198" s="83"/>
      <c r="F198" s="73"/>
      <c r="G198" s="92"/>
    </row>
    <row r="199" spans="1:7" ht="41.25" customHeight="1" thickBot="1" x14ac:dyDescent="0.3">
      <c r="A199" s="85">
        <v>44</v>
      </c>
      <c r="B199" s="86" t="s">
        <v>234</v>
      </c>
      <c r="C199" s="278" t="s">
        <v>688</v>
      </c>
      <c r="D199" s="279"/>
      <c r="E199" s="107">
        <v>0</v>
      </c>
      <c r="F199" s="73"/>
      <c r="G199" s="74" t="s">
        <v>689</v>
      </c>
    </row>
    <row r="200" spans="1:7" s="149" customFormat="1" ht="17.25" customHeight="1" x14ac:dyDescent="0.25">
      <c r="A200" s="153"/>
      <c r="B200" s="154"/>
      <c r="C200" s="146">
        <v>0</v>
      </c>
      <c r="D200" s="150" t="s">
        <v>677</v>
      </c>
      <c r="E200" s="148"/>
      <c r="F200" s="142"/>
      <c r="G200" s="76"/>
    </row>
    <row r="201" spans="1:7" s="149" customFormat="1" ht="27.75" customHeight="1" x14ac:dyDescent="0.25">
      <c r="A201" s="153"/>
      <c r="B201" s="154"/>
      <c r="C201" s="146">
        <v>1</v>
      </c>
      <c r="D201" s="150" t="s">
        <v>690</v>
      </c>
      <c r="E201" s="148"/>
      <c r="F201" s="142"/>
      <c r="G201" s="76"/>
    </row>
    <row r="202" spans="1:7" s="149" customFormat="1" ht="27.75" customHeight="1" x14ac:dyDescent="0.25">
      <c r="A202" s="153"/>
      <c r="B202" s="154"/>
      <c r="C202" s="146">
        <v>2</v>
      </c>
      <c r="D202" s="150" t="s">
        <v>691</v>
      </c>
      <c r="E202" s="148"/>
      <c r="F202" s="142"/>
      <c r="G202" s="76"/>
    </row>
    <row r="203" spans="1:7" s="149" customFormat="1" ht="27.75" customHeight="1" x14ac:dyDescent="0.25">
      <c r="A203" s="153"/>
      <c r="B203" s="154"/>
      <c r="C203" s="146">
        <v>3</v>
      </c>
      <c r="D203" s="155" t="s">
        <v>692</v>
      </c>
      <c r="E203" s="148"/>
      <c r="F203" s="142"/>
      <c r="G203" s="76"/>
    </row>
    <row r="204" spans="1:7" s="149" customFormat="1" ht="29.25" customHeight="1" x14ac:dyDescent="0.25">
      <c r="A204" s="153"/>
      <c r="B204" s="154"/>
      <c r="C204" s="146">
        <v>4</v>
      </c>
      <c r="D204" s="156" t="s">
        <v>693</v>
      </c>
      <c r="E204" s="148"/>
      <c r="F204" s="142"/>
      <c r="G204" s="76"/>
    </row>
    <row r="205" spans="1:7" ht="15.75" thickBot="1" x14ac:dyDescent="0.3">
      <c r="A205" s="83"/>
      <c r="B205" s="143"/>
      <c r="C205" s="274" t="s">
        <v>48</v>
      </c>
      <c r="D205" s="275"/>
      <c r="E205" s="99">
        <f>IF(E199&lt;0, "Salah Isi", IF(E199&lt;=4, E199, "Salah Isi"))</f>
        <v>0</v>
      </c>
      <c r="F205" s="73"/>
      <c r="G205" s="92"/>
    </row>
    <row r="206" spans="1:7" ht="15.75" thickBot="1" x14ac:dyDescent="0.3">
      <c r="A206" s="83"/>
      <c r="B206" s="143"/>
      <c r="C206" s="73"/>
      <c r="D206" s="73"/>
      <c r="E206" s="83"/>
      <c r="F206" s="73"/>
      <c r="G206" s="92"/>
    </row>
    <row r="207" spans="1:7" ht="79.5" customHeight="1" thickBot="1" x14ac:dyDescent="0.3">
      <c r="A207" s="85">
        <v>45</v>
      </c>
      <c r="B207" s="86" t="s">
        <v>236</v>
      </c>
      <c r="C207" s="278" t="s">
        <v>694</v>
      </c>
      <c r="D207" s="279"/>
      <c r="E207" s="107">
        <v>0</v>
      </c>
      <c r="F207" s="73"/>
      <c r="G207" s="74" t="s">
        <v>695</v>
      </c>
    </row>
    <row r="208" spans="1:7" ht="16.5" customHeight="1" x14ac:dyDescent="0.25">
      <c r="A208" s="157"/>
      <c r="B208" s="158"/>
      <c r="C208" s="159">
        <v>0</v>
      </c>
      <c r="D208" s="118" t="s">
        <v>696</v>
      </c>
      <c r="E208" s="148"/>
      <c r="F208" s="142"/>
      <c r="G208" s="76"/>
    </row>
    <row r="209" spans="1:7" ht="17.25" customHeight="1" x14ac:dyDescent="0.25">
      <c r="A209" s="157"/>
      <c r="B209" s="158"/>
      <c r="C209" s="159">
        <v>1</v>
      </c>
      <c r="D209" s="160" t="s">
        <v>697</v>
      </c>
      <c r="E209" s="148"/>
      <c r="F209" s="142"/>
      <c r="G209" s="76"/>
    </row>
    <row r="210" spans="1:7" ht="43.5" customHeight="1" x14ac:dyDescent="0.25">
      <c r="A210" s="157"/>
      <c r="B210" s="158"/>
      <c r="C210" s="159">
        <v>2</v>
      </c>
      <c r="D210" s="155" t="s">
        <v>698</v>
      </c>
      <c r="E210" s="148"/>
      <c r="F210" s="142"/>
      <c r="G210" s="76"/>
    </row>
    <row r="211" spans="1:7" ht="31.5" customHeight="1" x14ac:dyDescent="0.25">
      <c r="A211" s="157"/>
      <c r="B211" s="158"/>
      <c r="C211" s="159">
        <v>3</v>
      </c>
      <c r="D211" s="155" t="s">
        <v>699</v>
      </c>
      <c r="E211" s="148"/>
      <c r="F211" s="142"/>
      <c r="G211" s="76"/>
    </row>
    <row r="212" spans="1:7" ht="39" customHeight="1" x14ac:dyDescent="0.25">
      <c r="A212" s="157"/>
      <c r="B212" s="158"/>
      <c r="C212" s="159">
        <v>4</v>
      </c>
      <c r="D212" s="155" t="s">
        <v>700</v>
      </c>
      <c r="E212" s="148"/>
      <c r="F212" s="142"/>
      <c r="G212" s="76"/>
    </row>
    <row r="213" spans="1:7" ht="15.75" thickBot="1" x14ac:dyDescent="0.3">
      <c r="A213" s="83"/>
      <c r="B213" s="143"/>
      <c r="C213" s="274" t="s">
        <v>48</v>
      </c>
      <c r="D213" s="275"/>
      <c r="E213" s="99">
        <f>IF(E207&lt;0, "Salah Isi", IF(E207&lt;=4, E207, "Salah Isi"))</f>
        <v>0</v>
      </c>
      <c r="F213" s="73"/>
      <c r="G213" s="92"/>
    </row>
    <row r="214" spans="1:7" ht="15.75" thickBot="1" x14ac:dyDescent="0.3">
      <c r="A214" s="83"/>
      <c r="B214" s="143"/>
      <c r="C214" s="73"/>
      <c r="D214" s="73"/>
      <c r="E214" s="83"/>
      <c r="F214" s="73"/>
      <c r="G214" s="92"/>
    </row>
    <row r="215" spans="1:7" ht="78" customHeight="1" thickBot="1" x14ac:dyDescent="0.3">
      <c r="A215" s="85">
        <v>46</v>
      </c>
      <c r="B215" s="86" t="s">
        <v>238</v>
      </c>
      <c r="C215" s="278" t="s">
        <v>701</v>
      </c>
      <c r="D215" s="279"/>
      <c r="E215" s="107">
        <v>0</v>
      </c>
      <c r="F215" s="73"/>
      <c r="G215" s="74" t="s">
        <v>702</v>
      </c>
    </row>
    <row r="216" spans="1:7" ht="20.25" customHeight="1" x14ac:dyDescent="0.25">
      <c r="A216" s="157"/>
      <c r="B216" s="158"/>
      <c r="C216" s="159">
        <v>0</v>
      </c>
      <c r="D216" s="161" t="s">
        <v>696</v>
      </c>
      <c r="E216" s="148"/>
      <c r="F216" s="142"/>
      <c r="G216" s="76"/>
    </row>
    <row r="217" spans="1:7" ht="20.25" customHeight="1" x14ac:dyDescent="0.25">
      <c r="A217" s="157"/>
      <c r="B217" s="158"/>
      <c r="C217" s="159">
        <v>1</v>
      </c>
      <c r="D217" s="160" t="s">
        <v>703</v>
      </c>
      <c r="E217" s="148"/>
      <c r="F217" s="142"/>
      <c r="G217" s="76"/>
    </row>
    <row r="218" spans="1:7" ht="30.75" customHeight="1" x14ac:dyDescent="0.25">
      <c r="A218" s="157"/>
      <c r="B218" s="158"/>
      <c r="C218" s="159">
        <v>2</v>
      </c>
      <c r="D218" s="155" t="s">
        <v>704</v>
      </c>
      <c r="E218" s="148"/>
      <c r="F218" s="142"/>
      <c r="G218" s="76"/>
    </row>
    <row r="219" spans="1:7" ht="31.5" customHeight="1" x14ac:dyDescent="0.25">
      <c r="A219" s="157"/>
      <c r="B219" s="158"/>
      <c r="C219" s="159">
        <v>3</v>
      </c>
      <c r="D219" s="155" t="s">
        <v>705</v>
      </c>
      <c r="E219" s="148"/>
      <c r="F219" s="142"/>
      <c r="G219" s="76"/>
    </row>
    <row r="220" spans="1:7" ht="30" customHeight="1" x14ac:dyDescent="0.25">
      <c r="A220" s="157"/>
      <c r="B220" s="158"/>
      <c r="C220" s="159">
        <v>4</v>
      </c>
      <c r="D220" s="155" t="s">
        <v>706</v>
      </c>
      <c r="E220" s="148"/>
      <c r="F220" s="73"/>
      <c r="G220" s="76"/>
    </row>
    <row r="221" spans="1:7" ht="15.75" thickBot="1" x14ac:dyDescent="0.3">
      <c r="A221" s="143"/>
      <c r="B221" s="143"/>
      <c r="C221" s="274" t="s">
        <v>48</v>
      </c>
      <c r="D221" s="275"/>
      <c r="E221" s="99">
        <f>IF(E215&lt;0, "Salah Isi", IF(E215&lt;=4, E215, "Salah Isi"))</f>
        <v>0</v>
      </c>
      <c r="F221" s="73"/>
      <c r="G221" s="92"/>
    </row>
    <row r="222" spans="1:7" ht="18" x14ac:dyDescent="0.25">
      <c r="A222" s="162"/>
      <c r="B222" s="162"/>
      <c r="C222" s="163"/>
      <c r="D222" s="163"/>
      <c r="E222" s="163"/>
      <c r="F222" s="163"/>
    </row>
    <row r="223" spans="1:7" ht="18" x14ac:dyDescent="0.25">
      <c r="A223" s="164"/>
      <c r="B223" s="164"/>
      <c r="C223" s="165"/>
      <c r="D223" s="165"/>
      <c r="E223" s="165"/>
      <c r="F223" s="165"/>
    </row>
    <row r="224" spans="1:7" ht="18" x14ac:dyDescent="0.25">
      <c r="A224" s="164"/>
      <c r="B224" s="164"/>
      <c r="C224" s="165"/>
      <c r="D224" s="165"/>
      <c r="E224" s="165"/>
      <c r="F224" s="165"/>
    </row>
    <row r="225" spans="1:6" ht="18" x14ac:dyDescent="0.25">
      <c r="A225" s="164"/>
      <c r="B225" s="164"/>
      <c r="C225" s="165"/>
      <c r="D225" s="165"/>
      <c r="E225" s="165"/>
      <c r="F225" s="165"/>
    </row>
    <row r="226" spans="1:6" ht="18" x14ac:dyDescent="0.25">
      <c r="A226" s="164"/>
      <c r="B226" s="164"/>
      <c r="C226" s="165"/>
      <c r="D226" s="165"/>
      <c r="E226" s="165"/>
      <c r="F226" s="165"/>
    </row>
    <row r="227" spans="1:6" ht="18" x14ac:dyDescent="0.25">
      <c r="A227" s="164"/>
      <c r="B227" s="164"/>
      <c r="C227" s="165"/>
      <c r="D227" s="165"/>
      <c r="E227" s="165"/>
      <c r="F227" s="165"/>
    </row>
    <row r="228" spans="1:6" ht="18" x14ac:dyDescent="0.25">
      <c r="A228" s="164"/>
      <c r="B228" s="164"/>
      <c r="C228" s="165"/>
      <c r="D228" s="165"/>
      <c r="E228" s="165"/>
      <c r="F228" s="165"/>
    </row>
    <row r="229" spans="1:6" ht="18" x14ac:dyDescent="0.25">
      <c r="A229" s="164"/>
      <c r="B229" s="164"/>
      <c r="C229" s="165"/>
      <c r="D229" s="165"/>
      <c r="E229" s="165"/>
      <c r="F229" s="165"/>
    </row>
    <row r="230" spans="1:6" ht="18" x14ac:dyDescent="0.25">
      <c r="A230" s="164"/>
      <c r="B230" s="164"/>
      <c r="C230" s="165"/>
      <c r="D230" s="165"/>
      <c r="E230" s="165"/>
      <c r="F230" s="165"/>
    </row>
    <row r="231" spans="1:6" ht="18" x14ac:dyDescent="0.25">
      <c r="A231" s="165"/>
      <c r="B231" s="165"/>
      <c r="C231" s="165"/>
      <c r="D231" s="165"/>
      <c r="E231" s="165"/>
      <c r="F231" s="165"/>
    </row>
    <row r="232" spans="1:6" ht="18" x14ac:dyDescent="0.25">
      <c r="A232" s="165"/>
      <c r="B232" s="165"/>
      <c r="C232" s="165"/>
      <c r="D232" s="165"/>
      <c r="E232" s="165"/>
      <c r="F232" s="165"/>
    </row>
    <row r="233" spans="1:6" ht="18" x14ac:dyDescent="0.25">
      <c r="A233" s="165"/>
      <c r="B233" s="165"/>
      <c r="C233" s="165"/>
      <c r="D233" s="165"/>
      <c r="E233" s="165"/>
      <c r="F233" s="165"/>
    </row>
    <row r="234" spans="1:6" ht="18" x14ac:dyDescent="0.25">
      <c r="A234" s="165"/>
      <c r="B234" s="165"/>
      <c r="C234" s="165"/>
      <c r="D234" s="165"/>
      <c r="E234" s="165"/>
      <c r="F234" s="165"/>
    </row>
    <row r="235" spans="1:6" ht="18" x14ac:dyDescent="0.25">
      <c r="A235" s="165"/>
      <c r="B235" s="165"/>
      <c r="C235" s="165"/>
      <c r="D235" s="165"/>
      <c r="E235" s="165"/>
      <c r="F235" s="165"/>
    </row>
    <row r="236" spans="1:6" ht="18" x14ac:dyDescent="0.25">
      <c r="A236" s="165"/>
      <c r="B236" s="165"/>
      <c r="C236" s="165"/>
      <c r="D236" s="165"/>
      <c r="E236" s="165"/>
      <c r="F236" s="165"/>
    </row>
    <row r="237" spans="1:6" ht="18" x14ac:dyDescent="0.25">
      <c r="A237" s="165"/>
      <c r="B237" s="165"/>
      <c r="C237" s="165"/>
      <c r="D237" s="165"/>
      <c r="E237" s="165"/>
      <c r="F237" s="165"/>
    </row>
    <row r="238" spans="1:6" ht="18" x14ac:dyDescent="0.25">
      <c r="A238" s="165"/>
      <c r="B238" s="165"/>
      <c r="C238" s="165"/>
      <c r="D238" s="165"/>
      <c r="E238" s="165"/>
      <c r="F238" s="165"/>
    </row>
    <row r="239" spans="1:6" ht="18" x14ac:dyDescent="0.25">
      <c r="A239" s="165"/>
      <c r="B239" s="165"/>
      <c r="C239" s="165"/>
      <c r="D239" s="165"/>
      <c r="E239" s="165"/>
      <c r="F239" s="165"/>
    </row>
    <row r="240" spans="1:6" ht="18" x14ac:dyDescent="0.25">
      <c r="A240" s="165"/>
      <c r="B240" s="165"/>
      <c r="C240" s="165"/>
      <c r="D240" s="165"/>
      <c r="E240" s="165"/>
      <c r="F240" s="165"/>
    </row>
    <row r="241" spans="1:6" ht="18" x14ac:dyDescent="0.25">
      <c r="A241" s="165"/>
      <c r="B241" s="165"/>
      <c r="C241" s="165"/>
      <c r="D241" s="165"/>
      <c r="E241" s="165"/>
      <c r="F241" s="165"/>
    </row>
    <row r="242" spans="1:6" ht="18" x14ac:dyDescent="0.25">
      <c r="A242" s="165"/>
      <c r="B242" s="165"/>
      <c r="C242" s="165"/>
      <c r="D242" s="165"/>
      <c r="E242" s="165"/>
      <c r="F242" s="165"/>
    </row>
    <row r="243" spans="1:6" ht="18" x14ac:dyDescent="0.25">
      <c r="A243" s="165"/>
      <c r="B243" s="165"/>
      <c r="C243" s="165"/>
      <c r="D243" s="165"/>
      <c r="E243" s="165"/>
      <c r="F243" s="165"/>
    </row>
    <row r="244" spans="1:6" ht="18" x14ac:dyDescent="0.25">
      <c r="A244" s="165"/>
      <c r="B244" s="165"/>
      <c r="C244" s="165"/>
      <c r="D244" s="165"/>
      <c r="E244" s="165"/>
      <c r="F244" s="165"/>
    </row>
    <row r="245" spans="1:6" ht="18" x14ac:dyDescent="0.25">
      <c r="A245" s="165"/>
      <c r="B245" s="165"/>
      <c r="C245" s="165"/>
      <c r="D245" s="165"/>
      <c r="E245" s="165"/>
      <c r="F245" s="165"/>
    </row>
    <row r="246" spans="1:6" ht="18" x14ac:dyDescent="0.25">
      <c r="A246" s="165"/>
      <c r="B246" s="165"/>
      <c r="C246" s="165"/>
      <c r="D246" s="165"/>
      <c r="E246" s="165"/>
      <c r="F246" s="165"/>
    </row>
    <row r="247" spans="1:6" ht="18" x14ac:dyDescent="0.25">
      <c r="A247" s="165"/>
      <c r="B247" s="165"/>
      <c r="C247" s="165"/>
      <c r="D247" s="165"/>
      <c r="E247" s="165"/>
      <c r="F247" s="165"/>
    </row>
    <row r="248" spans="1:6" ht="18" x14ac:dyDescent="0.25">
      <c r="A248" s="165"/>
      <c r="B248" s="165"/>
      <c r="C248" s="165"/>
      <c r="D248" s="165"/>
      <c r="E248" s="165"/>
      <c r="F248" s="165"/>
    </row>
    <row r="249" spans="1:6" ht="18" x14ac:dyDescent="0.25">
      <c r="A249" s="165"/>
      <c r="B249" s="165"/>
      <c r="C249" s="165"/>
      <c r="D249" s="165"/>
      <c r="E249" s="165"/>
      <c r="F249" s="165"/>
    </row>
    <row r="250" spans="1:6" ht="18" x14ac:dyDescent="0.25">
      <c r="A250" s="165"/>
      <c r="B250" s="165"/>
      <c r="C250" s="165"/>
      <c r="D250" s="165"/>
      <c r="E250" s="165"/>
      <c r="F250" s="165"/>
    </row>
    <row r="251" spans="1:6" ht="18" x14ac:dyDescent="0.25">
      <c r="A251" s="165"/>
      <c r="B251" s="165"/>
      <c r="C251" s="165"/>
      <c r="D251" s="165"/>
      <c r="E251" s="165"/>
      <c r="F251" s="165"/>
    </row>
    <row r="252" spans="1:6" ht="18" x14ac:dyDescent="0.25">
      <c r="A252" s="165"/>
      <c r="B252" s="165"/>
      <c r="C252" s="165"/>
      <c r="D252" s="165"/>
      <c r="E252" s="165"/>
      <c r="F252" s="165"/>
    </row>
    <row r="253" spans="1:6" ht="18" x14ac:dyDescent="0.25">
      <c r="A253" s="165"/>
      <c r="B253" s="165"/>
      <c r="C253" s="165"/>
      <c r="D253" s="165"/>
      <c r="E253" s="165"/>
      <c r="F253" s="165"/>
    </row>
    <row r="254" spans="1:6" ht="15.75" x14ac:dyDescent="0.25">
      <c r="A254" s="166"/>
      <c r="B254" s="166"/>
      <c r="C254" s="166"/>
      <c r="D254" s="166"/>
      <c r="E254" s="166"/>
      <c r="F254" s="166"/>
    </row>
    <row r="255" spans="1:6" ht="15.75" x14ac:dyDescent="0.25">
      <c r="A255" s="166"/>
      <c r="B255" s="166"/>
      <c r="C255" s="166"/>
      <c r="D255" s="166"/>
      <c r="E255" s="166"/>
      <c r="F255" s="166"/>
    </row>
  </sheetData>
  <mergeCells count="115">
    <mergeCell ref="C221:D221"/>
    <mergeCell ref="C197:D197"/>
    <mergeCell ref="C199:D199"/>
    <mergeCell ref="C205:D205"/>
    <mergeCell ref="C207:D207"/>
    <mergeCell ref="C213:D213"/>
    <mergeCell ref="C215:D215"/>
    <mergeCell ref="C190:D190"/>
    <mergeCell ref="C192:D192"/>
    <mergeCell ref="C193:D193"/>
    <mergeCell ref="C194:D194"/>
    <mergeCell ref="C195:D195"/>
    <mergeCell ref="C196:D196"/>
    <mergeCell ref="C183:D183"/>
    <mergeCell ref="C185:D185"/>
    <mergeCell ref="C186:D186"/>
    <mergeCell ref="C187:D187"/>
    <mergeCell ref="C188:D188"/>
    <mergeCell ref="C189:D189"/>
    <mergeCell ref="C171:D171"/>
    <mergeCell ref="C172:D172"/>
    <mergeCell ref="C173:D173"/>
    <mergeCell ref="C174:D174"/>
    <mergeCell ref="C175:D175"/>
    <mergeCell ref="C177:D177"/>
    <mergeCell ref="C162:D162"/>
    <mergeCell ref="C163:D163"/>
    <mergeCell ref="C165:D165"/>
    <mergeCell ref="C166:D166"/>
    <mergeCell ref="C167:D167"/>
    <mergeCell ref="C168:D168"/>
    <mergeCell ref="C145:D145"/>
    <mergeCell ref="C147:D147"/>
    <mergeCell ref="C148:D148"/>
    <mergeCell ref="C150:D150"/>
    <mergeCell ref="C159:D159"/>
    <mergeCell ref="C160:D160"/>
    <mergeCell ref="C136:D136"/>
    <mergeCell ref="C138:D138"/>
    <mergeCell ref="C139:D139"/>
    <mergeCell ref="C141:D141"/>
    <mergeCell ref="C142:D142"/>
    <mergeCell ref="C144:D144"/>
    <mergeCell ref="C127:D127"/>
    <mergeCell ref="C129:D129"/>
    <mergeCell ref="C130:D130"/>
    <mergeCell ref="C132:D132"/>
    <mergeCell ref="C133:D133"/>
    <mergeCell ref="C135:D135"/>
    <mergeCell ref="C117:D117"/>
    <mergeCell ref="C119:D119"/>
    <mergeCell ref="C121:D121"/>
    <mergeCell ref="C123:D123"/>
    <mergeCell ref="C124:D124"/>
    <mergeCell ref="C126:D126"/>
    <mergeCell ref="C105:D105"/>
    <mergeCell ref="C108:D108"/>
    <mergeCell ref="C109:D109"/>
    <mergeCell ref="C111:D111"/>
    <mergeCell ref="C113:D113"/>
    <mergeCell ref="C115:D115"/>
    <mergeCell ref="C91:D91"/>
    <mergeCell ref="C92:D92"/>
    <mergeCell ref="C94:D94"/>
    <mergeCell ref="C95:D95"/>
    <mergeCell ref="C97:D97"/>
    <mergeCell ref="C103:D103"/>
    <mergeCell ref="C71:D71"/>
    <mergeCell ref="C73:D73"/>
    <mergeCell ref="C85:D85"/>
    <mergeCell ref="C86:D86"/>
    <mergeCell ref="C88:D88"/>
    <mergeCell ref="C89:D89"/>
    <mergeCell ref="C60:D60"/>
    <mergeCell ref="C61:D61"/>
    <mergeCell ref="C64:D64"/>
    <mergeCell ref="C66:D66"/>
    <mergeCell ref="C67:D67"/>
    <mergeCell ref="C69:D69"/>
    <mergeCell ref="C49:D49"/>
    <mergeCell ref="C51:D51"/>
    <mergeCell ref="C52:D52"/>
    <mergeCell ref="C54:D54"/>
    <mergeCell ref="C55:D55"/>
    <mergeCell ref="C58:D58"/>
    <mergeCell ref="C37:D37"/>
    <mergeCell ref="C39:D39"/>
    <mergeCell ref="C40:D40"/>
    <mergeCell ref="C42:D42"/>
    <mergeCell ref="C43:D43"/>
    <mergeCell ref="C45:D45"/>
    <mergeCell ref="C28:D28"/>
    <mergeCell ref="C30:D30"/>
    <mergeCell ref="C31:D31"/>
    <mergeCell ref="C33:D33"/>
    <mergeCell ref="C34:D34"/>
    <mergeCell ref="C36:D36"/>
    <mergeCell ref="C22:D22"/>
    <mergeCell ref="C24:D24"/>
    <mergeCell ref="C25:D25"/>
    <mergeCell ref="C7:D7"/>
    <mergeCell ref="C8:D8"/>
    <mergeCell ref="C9:D9"/>
    <mergeCell ref="C11:D11"/>
    <mergeCell ref="C12:D12"/>
    <mergeCell ref="C13:D13"/>
    <mergeCell ref="A1:H1"/>
    <mergeCell ref="A2:H2"/>
    <mergeCell ref="C3:D3"/>
    <mergeCell ref="C4:D4"/>
    <mergeCell ref="C5:D5"/>
    <mergeCell ref="C6:D6"/>
    <mergeCell ref="C14:D14"/>
    <mergeCell ref="C15:D15"/>
    <mergeCell ref="C17:D17"/>
  </mergeCells>
  <dataValidations count="3">
    <dataValidation type="decimal" allowBlank="1" showInputMessage="1" promptTitle="PETUNJUK PENGISIAN" prompt="Isi dengan bilangan desimal 0 - 4" sqref="E33 JA33 SW33 ACS33 AMO33 AWK33 BGG33 BQC33 BZY33 CJU33 CTQ33 DDM33 DNI33 DXE33 EHA33 EQW33 FAS33 FKO33 FUK33 GEG33 GOC33 GXY33 HHU33 HRQ33 IBM33 ILI33 IVE33 JFA33 JOW33 JYS33 KIO33 KSK33 LCG33 LMC33 LVY33 MFU33 MPQ33 MZM33 NJI33 NTE33 ODA33 OMW33 OWS33 PGO33 PQK33 QAG33 QKC33 QTY33 RDU33 RNQ33 RXM33 SHI33 SRE33 TBA33 TKW33 TUS33 UEO33 UOK33 UYG33 VIC33 VRY33 WBU33 WLQ33 WVM33 E65569 JA65569 SW65569 ACS65569 AMO65569 AWK65569 BGG65569 BQC65569 BZY65569 CJU65569 CTQ65569 DDM65569 DNI65569 DXE65569 EHA65569 EQW65569 FAS65569 FKO65569 FUK65569 GEG65569 GOC65569 GXY65569 HHU65569 HRQ65569 IBM65569 ILI65569 IVE65569 JFA65569 JOW65569 JYS65569 KIO65569 KSK65569 LCG65569 LMC65569 LVY65569 MFU65569 MPQ65569 MZM65569 NJI65569 NTE65569 ODA65569 OMW65569 OWS65569 PGO65569 PQK65569 QAG65569 QKC65569 QTY65569 RDU65569 RNQ65569 RXM65569 SHI65569 SRE65569 TBA65569 TKW65569 TUS65569 UEO65569 UOK65569 UYG65569 VIC65569 VRY65569 WBU65569 WLQ65569 WVM65569 E131105 JA131105 SW131105 ACS131105 AMO131105 AWK131105 BGG131105 BQC131105 BZY131105 CJU131105 CTQ131105 DDM131105 DNI131105 DXE131105 EHA131105 EQW131105 FAS131105 FKO131105 FUK131105 GEG131105 GOC131105 GXY131105 HHU131105 HRQ131105 IBM131105 ILI131105 IVE131105 JFA131105 JOW131105 JYS131105 KIO131105 KSK131105 LCG131105 LMC131105 LVY131105 MFU131105 MPQ131105 MZM131105 NJI131105 NTE131105 ODA131105 OMW131105 OWS131105 PGO131105 PQK131105 QAG131105 QKC131105 QTY131105 RDU131105 RNQ131105 RXM131105 SHI131105 SRE131105 TBA131105 TKW131105 TUS131105 UEO131105 UOK131105 UYG131105 VIC131105 VRY131105 WBU131105 WLQ131105 WVM131105 E196641 JA196641 SW196641 ACS196641 AMO196641 AWK196641 BGG196641 BQC196641 BZY196641 CJU196641 CTQ196641 DDM196641 DNI196641 DXE196641 EHA196641 EQW196641 FAS196641 FKO196641 FUK196641 GEG196641 GOC196641 GXY196641 HHU196641 HRQ196641 IBM196641 ILI196641 IVE196641 JFA196641 JOW196641 JYS196641 KIO196641 KSK196641 LCG196641 LMC196641 LVY196641 MFU196641 MPQ196641 MZM196641 NJI196641 NTE196641 ODA196641 OMW196641 OWS196641 PGO196641 PQK196641 QAG196641 QKC196641 QTY196641 RDU196641 RNQ196641 RXM196641 SHI196641 SRE196641 TBA196641 TKW196641 TUS196641 UEO196641 UOK196641 UYG196641 VIC196641 VRY196641 WBU196641 WLQ196641 WVM196641 E262177 JA262177 SW262177 ACS262177 AMO262177 AWK262177 BGG262177 BQC262177 BZY262177 CJU262177 CTQ262177 DDM262177 DNI262177 DXE262177 EHA262177 EQW262177 FAS262177 FKO262177 FUK262177 GEG262177 GOC262177 GXY262177 HHU262177 HRQ262177 IBM262177 ILI262177 IVE262177 JFA262177 JOW262177 JYS262177 KIO262177 KSK262177 LCG262177 LMC262177 LVY262177 MFU262177 MPQ262177 MZM262177 NJI262177 NTE262177 ODA262177 OMW262177 OWS262177 PGO262177 PQK262177 QAG262177 QKC262177 QTY262177 RDU262177 RNQ262177 RXM262177 SHI262177 SRE262177 TBA262177 TKW262177 TUS262177 UEO262177 UOK262177 UYG262177 VIC262177 VRY262177 WBU262177 WLQ262177 WVM262177 E327713 JA327713 SW327713 ACS327713 AMO327713 AWK327713 BGG327713 BQC327713 BZY327713 CJU327713 CTQ327713 DDM327713 DNI327713 DXE327713 EHA327713 EQW327713 FAS327713 FKO327713 FUK327713 GEG327713 GOC327713 GXY327713 HHU327713 HRQ327713 IBM327713 ILI327713 IVE327713 JFA327713 JOW327713 JYS327713 KIO327713 KSK327713 LCG327713 LMC327713 LVY327713 MFU327713 MPQ327713 MZM327713 NJI327713 NTE327713 ODA327713 OMW327713 OWS327713 PGO327713 PQK327713 QAG327713 QKC327713 QTY327713 RDU327713 RNQ327713 RXM327713 SHI327713 SRE327713 TBA327713 TKW327713 TUS327713 UEO327713 UOK327713 UYG327713 VIC327713 VRY327713 WBU327713 WLQ327713 WVM327713 E393249 JA393249 SW393249 ACS393249 AMO393249 AWK393249 BGG393249 BQC393249 BZY393249 CJU393249 CTQ393249 DDM393249 DNI393249 DXE393249 EHA393249 EQW393249 FAS393249 FKO393249 FUK393249 GEG393249 GOC393249 GXY393249 HHU393249 HRQ393249 IBM393249 ILI393249 IVE393249 JFA393249 JOW393249 JYS393249 KIO393249 KSK393249 LCG393249 LMC393249 LVY393249 MFU393249 MPQ393249 MZM393249 NJI393249 NTE393249 ODA393249 OMW393249 OWS393249 PGO393249 PQK393249 QAG393249 QKC393249 QTY393249 RDU393249 RNQ393249 RXM393249 SHI393249 SRE393249 TBA393249 TKW393249 TUS393249 UEO393249 UOK393249 UYG393249 VIC393249 VRY393249 WBU393249 WLQ393249 WVM393249 E458785 JA458785 SW458785 ACS458785 AMO458785 AWK458785 BGG458785 BQC458785 BZY458785 CJU458785 CTQ458785 DDM458785 DNI458785 DXE458785 EHA458785 EQW458785 FAS458785 FKO458785 FUK458785 GEG458785 GOC458785 GXY458785 HHU458785 HRQ458785 IBM458785 ILI458785 IVE458785 JFA458785 JOW458785 JYS458785 KIO458785 KSK458785 LCG458785 LMC458785 LVY458785 MFU458785 MPQ458785 MZM458785 NJI458785 NTE458785 ODA458785 OMW458785 OWS458785 PGO458785 PQK458785 QAG458785 QKC458785 QTY458785 RDU458785 RNQ458785 RXM458785 SHI458785 SRE458785 TBA458785 TKW458785 TUS458785 UEO458785 UOK458785 UYG458785 VIC458785 VRY458785 WBU458785 WLQ458785 WVM458785 E524321 JA524321 SW524321 ACS524321 AMO524321 AWK524321 BGG524321 BQC524321 BZY524321 CJU524321 CTQ524321 DDM524321 DNI524321 DXE524321 EHA524321 EQW524321 FAS524321 FKO524321 FUK524321 GEG524321 GOC524321 GXY524321 HHU524321 HRQ524321 IBM524321 ILI524321 IVE524321 JFA524321 JOW524321 JYS524321 KIO524321 KSK524321 LCG524321 LMC524321 LVY524321 MFU524321 MPQ524321 MZM524321 NJI524321 NTE524321 ODA524321 OMW524321 OWS524321 PGO524321 PQK524321 QAG524321 QKC524321 QTY524321 RDU524321 RNQ524321 RXM524321 SHI524321 SRE524321 TBA524321 TKW524321 TUS524321 UEO524321 UOK524321 UYG524321 VIC524321 VRY524321 WBU524321 WLQ524321 WVM524321 E589857 JA589857 SW589857 ACS589857 AMO589857 AWK589857 BGG589857 BQC589857 BZY589857 CJU589857 CTQ589857 DDM589857 DNI589857 DXE589857 EHA589857 EQW589857 FAS589857 FKO589857 FUK589857 GEG589857 GOC589857 GXY589857 HHU589857 HRQ589857 IBM589857 ILI589857 IVE589857 JFA589857 JOW589857 JYS589857 KIO589857 KSK589857 LCG589857 LMC589857 LVY589857 MFU589857 MPQ589857 MZM589857 NJI589857 NTE589857 ODA589857 OMW589857 OWS589857 PGO589857 PQK589857 QAG589857 QKC589857 QTY589857 RDU589857 RNQ589857 RXM589857 SHI589857 SRE589857 TBA589857 TKW589857 TUS589857 UEO589857 UOK589857 UYG589857 VIC589857 VRY589857 WBU589857 WLQ589857 WVM589857 E655393 JA655393 SW655393 ACS655393 AMO655393 AWK655393 BGG655393 BQC655393 BZY655393 CJU655393 CTQ655393 DDM655393 DNI655393 DXE655393 EHA655393 EQW655393 FAS655393 FKO655393 FUK655393 GEG655393 GOC655393 GXY655393 HHU655393 HRQ655393 IBM655393 ILI655393 IVE655393 JFA655393 JOW655393 JYS655393 KIO655393 KSK655393 LCG655393 LMC655393 LVY655393 MFU655393 MPQ655393 MZM655393 NJI655393 NTE655393 ODA655393 OMW655393 OWS655393 PGO655393 PQK655393 QAG655393 QKC655393 QTY655393 RDU655393 RNQ655393 RXM655393 SHI655393 SRE655393 TBA655393 TKW655393 TUS655393 UEO655393 UOK655393 UYG655393 VIC655393 VRY655393 WBU655393 WLQ655393 WVM655393 E720929 JA720929 SW720929 ACS720929 AMO720929 AWK720929 BGG720929 BQC720929 BZY720929 CJU720929 CTQ720929 DDM720929 DNI720929 DXE720929 EHA720929 EQW720929 FAS720929 FKO720929 FUK720929 GEG720929 GOC720929 GXY720929 HHU720929 HRQ720929 IBM720929 ILI720929 IVE720929 JFA720929 JOW720929 JYS720929 KIO720929 KSK720929 LCG720929 LMC720929 LVY720929 MFU720929 MPQ720929 MZM720929 NJI720929 NTE720929 ODA720929 OMW720929 OWS720929 PGO720929 PQK720929 QAG720929 QKC720929 QTY720929 RDU720929 RNQ720929 RXM720929 SHI720929 SRE720929 TBA720929 TKW720929 TUS720929 UEO720929 UOK720929 UYG720929 VIC720929 VRY720929 WBU720929 WLQ720929 WVM720929 E786465 JA786465 SW786465 ACS786465 AMO786465 AWK786465 BGG786465 BQC786465 BZY786465 CJU786465 CTQ786465 DDM786465 DNI786465 DXE786465 EHA786465 EQW786465 FAS786465 FKO786465 FUK786465 GEG786465 GOC786465 GXY786465 HHU786465 HRQ786465 IBM786465 ILI786465 IVE786465 JFA786465 JOW786465 JYS786465 KIO786465 KSK786465 LCG786465 LMC786465 LVY786465 MFU786465 MPQ786465 MZM786465 NJI786465 NTE786465 ODA786465 OMW786465 OWS786465 PGO786465 PQK786465 QAG786465 QKC786465 QTY786465 RDU786465 RNQ786465 RXM786465 SHI786465 SRE786465 TBA786465 TKW786465 TUS786465 UEO786465 UOK786465 UYG786465 VIC786465 VRY786465 WBU786465 WLQ786465 WVM786465 E852001 JA852001 SW852001 ACS852001 AMO852001 AWK852001 BGG852001 BQC852001 BZY852001 CJU852001 CTQ852001 DDM852001 DNI852001 DXE852001 EHA852001 EQW852001 FAS852001 FKO852001 FUK852001 GEG852001 GOC852001 GXY852001 HHU852001 HRQ852001 IBM852001 ILI852001 IVE852001 JFA852001 JOW852001 JYS852001 KIO852001 KSK852001 LCG852001 LMC852001 LVY852001 MFU852001 MPQ852001 MZM852001 NJI852001 NTE852001 ODA852001 OMW852001 OWS852001 PGO852001 PQK852001 QAG852001 QKC852001 QTY852001 RDU852001 RNQ852001 RXM852001 SHI852001 SRE852001 TBA852001 TKW852001 TUS852001 UEO852001 UOK852001 UYG852001 VIC852001 VRY852001 WBU852001 WLQ852001 WVM852001 E917537 JA917537 SW917537 ACS917537 AMO917537 AWK917537 BGG917537 BQC917537 BZY917537 CJU917537 CTQ917537 DDM917537 DNI917537 DXE917537 EHA917537 EQW917537 FAS917537 FKO917537 FUK917537 GEG917537 GOC917537 GXY917537 HHU917537 HRQ917537 IBM917537 ILI917537 IVE917537 JFA917537 JOW917537 JYS917537 KIO917537 KSK917537 LCG917537 LMC917537 LVY917537 MFU917537 MPQ917537 MZM917537 NJI917537 NTE917537 ODA917537 OMW917537 OWS917537 PGO917537 PQK917537 QAG917537 QKC917537 QTY917537 RDU917537 RNQ917537 RXM917537 SHI917537 SRE917537 TBA917537 TKW917537 TUS917537 UEO917537 UOK917537 UYG917537 VIC917537 VRY917537 WBU917537 WLQ917537 WVM917537 E983073 JA983073 SW983073 ACS983073 AMO983073 AWK983073 BGG983073 BQC983073 BZY983073 CJU983073 CTQ983073 DDM983073 DNI983073 DXE983073 EHA983073 EQW983073 FAS983073 FKO983073 FUK983073 GEG983073 GOC983073 GXY983073 HHU983073 HRQ983073 IBM983073 ILI983073 IVE983073 JFA983073 JOW983073 JYS983073 KIO983073 KSK983073 LCG983073 LMC983073 LVY983073 MFU983073 MPQ983073 MZM983073 NJI983073 NTE983073 ODA983073 OMW983073 OWS983073 PGO983073 PQK983073 QAG983073 QKC983073 QTY983073 RDU983073 RNQ983073 RXM983073 SHI983073 SRE983073 TBA983073 TKW983073 TUS983073 UEO983073 UOK983073 UYG983073 VIC983073 VRY983073 WBU983073 WLQ983073 WVM983073">
      <formula1>0</formula1>
      <formula2>4</formula2>
    </dataValidation>
    <dataValidation type="decimal" allowBlank="1" showInputMessage="1" promptTitle="PETUNJUK PENGISIAN" prompt="Isi dengan bilangan desimal 1 - 4" sqref="E30 JA30 SW30 ACS30 AMO30 AWK30 BGG30 BQC30 BZY30 CJU30 CTQ30 DDM30 DNI30 DXE30 EHA30 EQW30 FAS30 FKO30 FUK30 GEG30 GOC30 GXY30 HHU30 HRQ30 IBM30 ILI30 IVE30 JFA30 JOW30 JYS30 KIO30 KSK30 LCG30 LMC30 LVY30 MFU30 MPQ30 MZM30 NJI30 NTE30 ODA30 OMW30 OWS30 PGO30 PQK30 QAG30 QKC30 QTY30 RDU30 RNQ30 RXM30 SHI30 SRE30 TBA30 TKW30 TUS30 UEO30 UOK30 UYG30 VIC30 VRY30 WBU30 WLQ30 WVM30 E65566 JA65566 SW65566 ACS65566 AMO65566 AWK65566 BGG65566 BQC65566 BZY65566 CJU65566 CTQ65566 DDM65566 DNI65566 DXE65566 EHA65566 EQW65566 FAS65566 FKO65566 FUK65566 GEG65566 GOC65566 GXY65566 HHU65566 HRQ65566 IBM65566 ILI65566 IVE65566 JFA65566 JOW65566 JYS65566 KIO65566 KSK65566 LCG65566 LMC65566 LVY65566 MFU65566 MPQ65566 MZM65566 NJI65566 NTE65566 ODA65566 OMW65566 OWS65566 PGO65566 PQK65566 QAG65566 QKC65566 QTY65566 RDU65566 RNQ65566 RXM65566 SHI65566 SRE65566 TBA65566 TKW65566 TUS65566 UEO65566 UOK65566 UYG65566 VIC65566 VRY65566 WBU65566 WLQ65566 WVM65566 E131102 JA131102 SW131102 ACS131102 AMO131102 AWK131102 BGG131102 BQC131102 BZY131102 CJU131102 CTQ131102 DDM131102 DNI131102 DXE131102 EHA131102 EQW131102 FAS131102 FKO131102 FUK131102 GEG131102 GOC131102 GXY131102 HHU131102 HRQ131102 IBM131102 ILI131102 IVE131102 JFA131102 JOW131102 JYS131102 KIO131102 KSK131102 LCG131102 LMC131102 LVY131102 MFU131102 MPQ131102 MZM131102 NJI131102 NTE131102 ODA131102 OMW131102 OWS131102 PGO131102 PQK131102 QAG131102 QKC131102 QTY131102 RDU131102 RNQ131102 RXM131102 SHI131102 SRE131102 TBA131102 TKW131102 TUS131102 UEO131102 UOK131102 UYG131102 VIC131102 VRY131102 WBU131102 WLQ131102 WVM131102 E196638 JA196638 SW196638 ACS196638 AMO196638 AWK196638 BGG196638 BQC196638 BZY196638 CJU196638 CTQ196638 DDM196638 DNI196638 DXE196638 EHA196638 EQW196638 FAS196638 FKO196638 FUK196638 GEG196638 GOC196638 GXY196638 HHU196638 HRQ196638 IBM196638 ILI196638 IVE196638 JFA196638 JOW196638 JYS196638 KIO196638 KSK196638 LCG196638 LMC196638 LVY196638 MFU196638 MPQ196638 MZM196638 NJI196638 NTE196638 ODA196638 OMW196638 OWS196638 PGO196638 PQK196638 QAG196638 QKC196638 QTY196638 RDU196638 RNQ196638 RXM196638 SHI196638 SRE196638 TBA196638 TKW196638 TUS196638 UEO196638 UOK196638 UYG196638 VIC196638 VRY196638 WBU196638 WLQ196638 WVM196638 E262174 JA262174 SW262174 ACS262174 AMO262174 AWK262174 BGG262174 BQC262174 BZY262174 CJU262174 CTQ262174 DDM262174 DNI262174 DXE262174 EHA262174 EQW262174 FAS262174 FKO262174 FUK262174 GEG262174 GOC262174 GXY262174 HHU262174 HRQ262174 IBM262174 ILI262174 IVE262174 JFA262174 JOW262174 JYS262174 KIO262174 KSK262174 LCG262174 LMC262174 LVY262174 MFU262174 MPQ262174 MZM262174 NJI262174 NTE262174 ODA262174 OMW262174 OWS262174 PGO262174 PQK262174 QAG262174 QKC262174 QTY262174 RDU262174 RNQ262174 RXM262174 SHI262174 SRE262174 TBA262174 TKW262174 TUS262174 UEO262174 UOK262174 UYG262174 VIC262174 VRY262174 WBU262174 WLQ262174 WVM262174 E327710 JA327710 SW327710 ACS327710 AMO327710 AWK327710 BGG327710 BQC327710 BZY327710 CJU327710 CTQ327710 DDM327710 DNI327710 DXE327710 EHA327710 EQW327710 FAS327710 FKO327710 FUK327710 GEG327710 GOC327710 GXY327710 HHU327710 HRQ327710 IBM327710 ILI327710 IVE327710 JFA327710 JOW327710 JYS327710 KIO327710 KSK327710 LCG327710 LMC327710 LVY327710 MFU327710 MPQ327710 MZM327710 NJI327710 NTE327710 ODA327710 OMW327710 OWS327710 PGO327710 PQK327710 QAG327710 QKC327710 QTY327710 RDU327710 RNQ327710 RXM327710 SHI327710 SRE327710 TBA327710 TKW327710 TUS327710 UEO327710 UOK327710 UYG327710 VIC327710 VRY327710 WBU327710 WLQ327710 WVM327710 E393246 JA393246 SW393246 ACS393246 AMO393246 AWK393246 BGG393246 BQC393246 BZY393246 CJU393246 CTQ393246 DDM393246 DNI393246 DXE393246 EHA393246 EQW393246 FAS393246 FKO393246 FUK393246 GEG393246 GOC393246 GXY393246 HHU393246 HRQ393246 IBM393246 ILI393246 IVE393246 JFA393246 JOW393246 JYS393246 KIO393246 KSK393246 LCG393246 LMC393246 LVY393246 MFU393246 MPQ393246 MZM393246 NJI393246 NTE393246 ODA393246 OMW393246 OWS393246 PGO393246 PQK393246 QAG393246 QKC393246 QTY393246 RDU393246 RNQ393246 RXM393246 SHI393246 SRE393246 TBA393246 TKW393246 TUS393246 UEO393246 UOK393246 UYG393246 VIC393246 VRY393246 WBU393246 WLQ393246 WVM393246 E458782 JA458782 SW458782 ACS458782 AMO458782 AWK458782 BGG458782 BQC458782 BZY458782 CJU458782 CTQ458782 DDM458782 DNI458782 DXE458782 EHA458782 EQW458782 FAS458782 FKO458782 FUK458782 GEG458782 GOC458782 GXY458782 HHU458782 HRQ458782 IBM458782 ILI458782 IVE458782 JFA458782 JOW458782 JYS458782 KIO458782 KSK458782 LCG458782 LMC458782 LVY458782 MFU458782 MPQ458782 MZM458782 NJI458782 NTE458782 ODA458782 OMW458782 OWS458782 PGO458782 PQK458782 QAG458782 QKC458782 QTY458782 RDU458782 RNQ458782 RXM458782 SHI458782 SRE458782 TBA458782 TKW458782 TUS458782 UEO458782 UOK458782 UYG458782 VIC458782 VRY458782 WBU458782 WLQ458782 WVM458782 E524318 JA524318 SW524318 ACS524318 AMO524318 AWK524318 BGG524318 BQC524318 BZY524318 CJU524318 CTQ524318 DDM524318 DNI524318 DXE524318 EHA524318 EQW524318 FAS524318 FKO524318 FUK524318 GEG524318 GOC524318 GXY524318 HHU524318 HRQ524318 IBM524318 ILI524318 IVE524318 JFA524318 JOW524318 JYS524318 KIO524318 KSK524318 LCG524318 LMC524318 LVY524318 MFU524318 MPQ524318 MZM524318 NJI524318 NTE524318 ODA524318 OMW524318 OWS524318 PGO524318 PQK524318 QAG524318 QKC524318 QTY524318 RDU524318 RNQ524318 RXM524318 SHI524318 SRE524318 TBA524318 TKW524318 TUS524318 UEO524318 UOK524318 UYG524318 VIC524318 VRY524318 WBU524318 WLQ524318 WVM524318 E589854 JA589854 SW589854 ACS589854 AMO589854 AWK589854 BGG589854 BQC589854 BZY589854 CJU589854 CTQ589854 DDM589854 DNI589854 DXE589854 EHA589854 EQW589854 FAS589854 FKO589854 FUK589854 GEG589854 GOC589854 GXY589854 HHU589854 HRQ589854 IBM589854 ILI589854 IVE589854 JFA589854 JOW589854 JYS589854 KIO589854 KSK589854 LCG589854 LMC589854 LVY589854 MFU589854 MPQ589854 MZM589854 NJI589854 NTE589854 ODA589854 OMW589854 OWS589854 PGO589854 PQK589854 QAG589854 QKC589854 QTY589854 RDU589854 RNQ589854 RXM589854 SHI589854 SRE589854 TBA589854 TKW589854 TUS589854 UEO589854 UOK589854 UYG589854 VIC589854 VRY589854 WBU589854 WLQ589854 WVM589854 E655390 JA655390 SW655390 ACS655390 AMO655390 AWK655390 BGG655390 BQC655390 BZY655390 CJU655390 CTQ655390 DDM655390 DNI655390 DXE655390 EHA655390 EQW655390 FAS655390 FKO655390 FUK655390 GEG655390 GOC655390 GXY655390 HHU655390 HRQ655390 IBM655390 ILI655390 IVE655390 JFA655390 JOW655390 JYS655390 KIO655390 KSK655390 LCG655390 LMC655390 LVY655390 MFU655390 MPQ655390 MZM655390 NJI655390 NTE655390 ODA655390 OMW655390 OWS655390 PGO655390 PQK655390 QAG655390 QKC655390 QTY655390 RDU655390 RNQ655390 RXM655390 SHI655390 SRE655390 TBA655390 TKW655390 TUS655390 UEO655390 UOK655390 UYG655390 VIC655390 VRY655390 WBU655390 WLQ655390 WVM655390 E720926 JA720926 SW720926 ACS720926 AMO720926 AWK720926 BGG720926 BQC720926 BZY720926 CJU720926 CTQ720926 DDM720926 DNI720926 DXE720926 EHA720926 EQW720926 FAS720926 FKO720926 FUK720926 GEG720926 GOC720926 GXY720926 HHU720926 HRQ720926 IBM720926 ILI720926 IVE720926 JFA720926 JOW720926 JYS720926 KIO720926 KSK720926 LCG720926 LMC720926 LVY720926 MFU720926 MPQ720926 MZM720926 NJI720926 NTE720926 ODA720926 OMW720926 OWS720926 PGO720926 PQK720926 QAG720926 QKC720926 QTY720926 RDU720926 RNQ720926 RXM720926 SHI720926 SRE720926 TBA720926 TKW720926 TUS720926 UEO720926 UOK720926 UYG720926 VIC720926 VRY720926 WBU720926 WLQ720926 WVM720926 E786462 JA786462 SW786462 ACS786462 AMO786462 AWK786462 BGG786462 BQC786462 BZY786462 CJU786462 CTQ786462 DDM786462 DNI786462 DXE786462 EHA786462 EQW786462 FAS786462 FKO786462 FUK786462 GEG786462 GOC786462 GXY786462 HHU786462 HRQ786462 IBM786462 ILI786462 IVE786462 JFA786462 JOW786462 JYS786462 KIO786462 KSK786462 LCG786462 LMC786462 LVY786462 MFU786462 MPQ786462 MZM786462 NJI786462 NTE786462 ODA786462 OMW786462 OWS786462 PGO786462 PQK786462 QAG786462 QKC786462 QTY786462 RDU786462 RNQ786462 RXM786462 SHI786462 SRE786462 TBA786462 TKW786462 TUS786462 UEO786462 UOK786462 UYG786462 VIC786462 VRY786462 WBU786462 WLQ786462 WVM786462 E851998 JA851998 SW851998 ACS851998 AMO851998 AWK851998 BGG851998 BQC851998 BZY851998 CJU851998 CTQ851998 DDM851998 DNI851998 DXE851998 EHA851998 EQW851998 FAS851998 FKO851998 FUK851998 GEG851998 GOC851998 GXY851998 HHU851998 HRQ851998 IBM851998 ILI851998 IVE851998 JFA851998 JOW851998 JYS851998 KIO851998 KSK851998 LCG851998 LMC851998 LVY851998 MFU851998 MPQ851998 MZM851998 NJI851998 NTE851998 ODA851998 OMW851998 OWS851998 PGO851998 PQK851998 QAG851998 QKC851998 QTY851998 RDU851998 RNQ851998 RXM851998 SHI851998 SRE851998 TBA851998 TKW851998 TUS851998 UEO851998 UOK851998 UYG851998 VIC851998 VRY851998 WBU851998 WLQ851998 WVM851998 E917534 JA917534 SW917534 ACS917534 AMO917534 AWK917534 BGG917534 BQC917534 BZY917534 CJU917534 CTQ917534 DDM917534 DNI917534 DXE917534 EHA917534 EQW917534 FAS917534 FKO917534 FUK917534 GEG917534 GOC917534 GXY917534 HHU917534 HRQ917534 IBM917534 ILI917534 IVE917534 JFA917534 JOW917534 JYS917534 KIO917534 KSK917534 LCG917534 LMC917534 LVY917534 MFU917534 MPQ917534 MZM917534 NJI917534 NTE917534 ODA917534 OMW917534 OWS917534 PGO917534 PQK917534 QAG917534 QKC917534 QTY917534 RDU917534 RNQ917534 RXM917534 SHI917534 SRE917534 TBA917534 TKW917534 TUS917534 UEO917534 UOK917534 UYG917534 VIC917534 VRY917534 WBU917534 WLQ917534 WVM917534 E983070 JA983070 SW983070 ACS983070 AMO983070 AWK983070 BGG983070 BQC983070 BZY983070 CJU983070 CTQ983070 DDM983070 DNI983070 DXE983070 EHA983070 EQW983070 FAS983070 FKO983070 FUK983070 GEG983070 GOC983070 GXY983070 HHU983070 HRQ983070 IBM983070 ILI983070 IVE983070 JFA983070 JOW983070 JYS983070 KIO983070 KSK983070 LCG983070 LMC983070 LVY983070 MFU983070 MPQ983070 MZM983070 NJI983070 NTE983070 ODA983070 OMW983070 OWS983070 PGO983070 PQK983070 QAG983070 QKC983070 QTY983070 RDU983070 RNQ983070 RXM983070 SHI983070 SRE983070 TBA983070 TKW983070 TUS983070 UEO983070 UOK983070 UYG983070 VIC983070 VRY983070 WBU983070 WLQ983070 WVM983070">
      <formula1>1</formula1>
      <formula2>4</formula2>
    </dataValidation>
    <dataValidation allowBlank="1" showInputMessage="1" promptTitle="PETUNJUK PENGISIAN" prompt="Isi dengan bilangan desimal_x000a_0, 2 atau 4" sqref="E42 JA42 SW42 ACS42 AMO42 AWK42 BGG42 BQC42 BZY42 CJU42 CTQ42 DDM42 DNI42 DXE42 EHA42 EQW42 FAS42 FKO42 FUK42 GEG42 GOC42 GXY42 HHU42 HRQ42 IBM42 ILI42 IVE42 JFA42 JOW42 JYS42 KIO42 KSK42 LCG42 LMC42 LVY42 MFU42 MPQ42 MZM42 NJI42 NTE42 ODA42 OMW42 OWS42 PGO42 PQK42 QAG42 QKC42 QTY42 RDU42 RNQ42 RXM42 SHI42 SRE42 TBA42 TKW42 TUS42 UEO42 UOK42 UYG42 VIC42 VRY42 WBU42 WLQ42 WVM42 E65578 JA65578 SW65578 ACS65578 AMO65578 AWK65578 BGG65578 BQC65578 BZY65578 CJU65578 CTQ65578 DDM65578 DNI65578 DXE65578 EHA65578 EQW65578 FAS65578 FKO65578 FUK65578 GEG65578 GOC65578 GXY65578 HHU65578 HRQ65578 IBM65578 ILI65578 IVE65578 JFA65578 JOW65578 JYS65578 KIO65578 KSK65578 LCG65578 LMC65578 LVY65578 MFU65578 MPQ65578 MZM65578 NJI65578 NTE65578 ODA65578 OMW65578 OWS65578 PGO65578 PQK65578 QAG65578 QKC65578 QTY65578 RDU65578 RNQ65578 RXM65578 SHI65578 SRE65578 TBA65578 TKW65578 TUS65578 UEO65578 UOK65578 UYG65578 VIC65578 VRY65578 WBU65578 WLQ65578 WVM65578 E131114 JA131114 SW131114 ACS131114 AMO131114 AWK131114 BGG131114 BQC131114 BZY131114 CJU131114 CTQ131114 DDM131114 DNI131114 DXE131114 EHA131114 EQW131114 FAS131114 FKO131114 FUK131114 GEG131114 GOC131114 GXY131114 HHU131114 HRQ131114 IBM131114 ILI131114 IVE131114 JFA131114 JOW131114 JYS131114 KIO131114 KSK131114 LCG131114 LMC131114 LVY131114 MFU131114 MPQ131114 MZM131114 NJI131114 NTE131114 ODA131114 OMW131114 OWS131114 PGO131114 PQK131114 QAG131114 QKC131114 QTY131114 RDU131114 RNQ131114 RXM131114 SHI131114 SRE131114 TBA131114 TKW131114 TUS131114 UEO131114 UOK131114 UYG131114 VIC131114 VRY131114 WBU131114 WLQ131114 WVM131114 E196650 JA196650 SW196650 ACS196650 AMO196650 AWK196650 BGG196650 BQC196650 BZY196650 CJU196650 CTQ196650 DDM196650 DNI196650 DXE196650 EHA196650 EQW196650 FAS196650 FKO196650 FUK196650 GEG196650 GOC196650 GXY196650 HHU196650 HRQ196650 IBM196650 ILI196650 IVE196650 JFA196650 JOW196650 JYS196650 KIO196650 KSK196650 LCG196650 LMC196650 LVY196650 MFU196650 MPQ196650 MZM196650 NJI196650 NTE196650 ODA196650 OMW196650 OWS196650 PGO196650 PQK196650 QAG196650 QKC196650 QTY196650 RDU196650 RNQ196650 RXM196650 SHI196650 SRE196650 TBA196650 TKW196650 TUS196650 UEO196650 UOK196650 UYG196650 VIC196650 VRY196650 WBU196650 WLQ196650 WVM196650 E262186 JA262186 SW262186 ACS262186 AMO262186 AWK262186 BGG262186 BQC262186 BZY262186 CJU262186 CTQ262186 DDM262186 DNI262186 DXE262186 EHA262186 EQW262186 FAS262186 FKO262186 FUK262186 GEG262186 GOC262186 GXY262186 HHU262186 HRQ262186 IBM262186 ILI262186 IVE262186 JFA262186 JOW262186 JYS262186 KIO262186 KSK262186 LCG262186 LMC262186 LVY262186 MFU262186 MPQ262186 MZM262186 NJI262186 NTE262186 ODA262186 OMW262186 OWS262186 PGO262186 PQK262186 QAG262186 QKC262186 QTY262186 RDU262186 RNQ262186 RXM262186 SHI262186 SRE262186 TBA262186 TKW262186 TUS262186 UEO262186 UOK262186 UYG262186 VIC262186 VRY262186 WBU262186 WLQ262186 WVM262186 E327722 JA327722 SW327722 ACS327722 AMO327722 AWK327722 BGG327722 BQC327722 BZY327722 CJU327722 CTQ327722 DDM327722 DNI327722 DXE327722 EHA327722 EQW327722 FAS327722 FKO327722 FUK327722 GEG327722 GOC327722 GXY327722 HHU327722 HRQ327722 IBM327722 ILI327722 IVE327722 JFA327722 JOW327722 JYS327722 KIO327722 KSK327722 LCG327722 LMC327722 LVY327722 MFU327722 MPQ327722 MZM327722 NJI327722 NTE327722 ODA327722 OMW327722 OWS327722 PGO327722 PQK327722 QAG327722 QKC327722 QTY327722 RDU327722 RNQ327722 RXM327722 SHI327722 SRE327722 TBA327722 TKW327722 TUS327722 UEO327722 UOK327722 UYG327722 VIC327722 VRY327722 WBU327722 WLQ327722 WVM327722 E393258 JA393258 SW393258 ACS393258 AMO393258 AWK393258 BGG393258 BQC393258 BZY393258 CJU393258 CTQ393258 DDM393258 DNI393258 DXE393258 EHA393258 EQW393258 FAS393258 FKO393258 FUK393258 GEG393258 GOC393258 GXY393258 HHU393258 HRQ393258 IBM393258 ILI393258 IVE393258 JFA393258 JOW393258 JYS393258 KIO393258 KSK393258 LCG393258 LMC393258 LVY393258 MFU393258 MPQ393258 MZM393258 NJI393258 NTE393258 ODA393258 OMW393258 OWS393258 PGO393258 PQK393258 QAG393258 QKC393258 QTY393258 RDU393258 RNQ393258 RXM393258 SHI393258 SRE393258 TBA393258 TKW393258 TUS393258 UEO393258 UOK393258 UYG393258 VIC393258 VRY393258 WBU393258 WLQ393258 WVM393258 E458794 JA458794 SW458794 ACS458794 AMO458794 AWK458794 BGG458794 BQC458794 BZY458794 CJU458794 CTQ458794 DDM458794 DNI458794 DXE458794 EHA458794 EQW458794 FAS458794 FKO458794 FUK458794 GEG458794 GOC458794 GXY458794 HHU458794 HRQ458794 IBM458794 ILI458794 IVE458794 JFA458794 JOW458794 JYS458794 KIO458794 KSK458794 LCG458794 LMC458794 LVY458794 MFU458794 MPQ458794 MZM458794 NJI458794 NTE458794 ODA458794 OMW458794 OWS458794 PGO458794 PQK458794 QAG458794 QKC458794 QTY458794 RDU458794 RNQ458794 RXM458794 SHI458794 SRE458794 TBA458794 TKW458794 TUS458794 UEO458794 UOK458794 UYG458794 VIC458794 VRY458794 WBU458794 WLQ458794 WVM458794 E524330 JA524330 SW524330 ACS524330 AMO524330 AWK524330 BGG524330 BQC524330 BZY524330 CJU524330 CTQ524330 DDM524330 DNI524330 DXE524330 EHA524330 EQW524330 FAS524330 FKO524330 FUK524330 GEG524330 GOC524330 GXY524330 HHU524330 HRQ524330 IBM524330 ILI524330 IVE524330 JFA524330 JOW524330 JYS524330 KIO524330 KSK524330 LCG524330 LMC524330 LVY524330 MFU524330 MPQ524330 MZM524330 NJI524330 NTE524330 ODA524330 OMW524330 OWS524330 PGO524330 PQK524330 QAG524330 QKC524330 QTY524330 RDU524330 RNQ524330 RXM524330 SHI524330 SRE524330 TBA524330 TKW524330 TUS524330 UEO524330 UOK524330 UYG524330 VIC524330 VRY524330 WBU524330 WLQ524330 WVM524330 E589866 JA589866 SW589866 ACS589866 AMO589866 AWK589866 BGG589866 BQC589866 BZY589866 CJU589866 CTQ589866 DDM589866 DNI589866 DXE589866 EHA589866 EQW589866 FAS589866 FKO589866 FUK589866 GEG589866 GOC589866 GXY589866 HHU589866 HRQ589866 IBM589866 ILI589866 IVE589866 JFA589866 JOW589866 JYS589866 KIO589866 KSK589866 LCG589866 LMC589866 LVY589866 MFU589866 MPQ589866 MZM589866 NJI589866 NTE589866 ODA589866 OMW589866 OWS589866 PGO589866 PQK589866 QAG589866 QKC589866 QTY589866 RDU589866 RNQ589866 RXM589866 SHI589866 SRE589866 TBA589866 TKW589866 TUS589866 UEO589866 UOK589866 UYG589866 VIC589866 VRY589866 WBU589866 WLQ589866 WVM589866 E655402 JA655402 SW655402 ACS655402 AMO655402 AWK655402 BGG655402 BQC655402 BZY655402 CJU655402 CTQ655402 DDM655402 DNI655402 DXE655402 EHA655402 EQW655402 FAS655402 FKO655402 FUK655402 GEG655402 GOC655402 GXY655402 HHU655402 HRQ655402 IBM655402 ILI655402 IVE655402 JFA655402 JOW655402 JYS655402 KIO655402 KSK655402 LCG655402 LMC655402 LVY655402 MFU655402 MPQ655402 MZM655402 NJI655402 NTE655402 ODA655402 OMW655402 OWS655402 PGO655402 PQK655402 QAG655402 QKC655402 QTY655402 RDU655402 RNQ655402 RXM655402 SHI655402 SRE655402 TBA655402 TKW655402 TUS655402 UEO655402 UOK655402 UYG655402 VIC655402 VRY655402 WBU655402 WLQ655402 WVM655402 E720938 JA720938 SW720938 ACS720938 AMO720938 AWK720938 BGG720938 BQC720938 BZY720938 CJU720938 CTQ720938 DDM720938 DNI720938 DXE720938 EHA720938 EQW720938 FAS720938 FKO720938 FUK720938 GEG720938 GOC720938 GXY720938 HHU720938 HRQ720938 IBM720938 ILI720938 IVE720938 JFA720938 JOW720938 JYS720938 KIO720938 KSK720938 LCG720938 LMC720938 LVY720938 MFU720938 MPQ720938 MZM720938 NJI720938 NTE720938 ODA720938 OMW720938 OWS720938 PGO720938 PQK720938 QAG720938 QKC720938 QTY720938 RDU720938 RNQ720938 RXM720938 SHI720938 SRE720938 TBA720938 TKW720938 TUS720938 UEO720938 UOK720938 UYG720938 VIC720938 VRY720938 WBU720938 WLQ720938 WVM720938 E786474 JA786474 SW786474 ACS786474 AMO786474 AWK786474 BGG786474 BQC786474 BZY786474 CJU786474 CTQ786474 DDM786474 DNI786474 DXE786474 EHA786474 EQW786474 FAS786474 FKO786474 FUK786474 GEG786474 GOC786474 GXY786474 HHU786474 HRQ786474 IBM786474 ILI786474 IVE786474 JFA786474 JOW786474 JYS786474 KIO786474 KSK786474 LCG786474 LMC786474 LVY786474 MFU786474 MPQ786474 MZM786474 NJI786474 NTE786474 ODA786474 OMW786474 OWS786474 PGO786474 PQK786474 QAG786474 QKC786474 QTY786474 RDU786474 RNQ786474 RXM786474 SHI786474 SRE786474 TBA786474 TKW786474 TUS786474 UEO786474 UOK786474 UYG786474 VIC786474 VRY786474 WBU786474 WLQ786474 WVM786474 E852010 JA852010 SW852010 ACS852010 AMO852010 AWK852010 BGG852010 BQC852010 BZY852010 CJU852010 CTQ852010 DDM852010 DNI852010 DXE852010 EHA852010 EQW852010 FAS852010 FKO852010 FUK852010 GEG852010 GOC852010 GXY852010 HHU852010 HRQ852010 IBM852010 ILI852010 IVE852010 JFA852010 JOW852010 JYS852010 KIO852010 KSK852010 LCG852010 LMC852010 LVY852010 MFU852010 MPQ852010 MZM852010 NJI852010 NTE852010 ODA852010 OMW852010 OWS852010 PGO852010 PQK852010 QAG852010 QKC852010 QTY852010 RDU852010 RNQ852010 RXM852010 SHI852010 SRE852010 TBA852010 TKW852010 TUS852010 UEO852010 UOK852010 UYG852010 VIC852010 VRY852010 WBU852010 WLQ852010 WVM852010 E917546 JA917546 SW917546 ACS917546 AMO917546 AWK917546 BGG917546 BQC917546 BZY917546 CJU917546 CTQ917546 DDM917546 DNI917546 DXE917546 EHA917546 EQW917546 FAS917546 FKO917546 FUK917546 GEG917546 GOC917546 GXY917546 HHU917546 HRQ917546 IBM917546 ILI917546 IVE917546 JFA917546 JOW917546 JYS917546 KIO917546 KSK917546 LCG917546 LMC917546 LVY917546 MFU917546 MPQ917546 MZM917546 NJI917546 NTE917546 ODA917546 OMW917546 OWS917546 PGO917546 PQK917546 QAG917546 QKC917546 QTY917546 RDU917546 RNQ917546 RXM917546 SHI917546 SRE917546 TBA917546 TKW917546 TUS917546 UEO917546 UOK917546 UYG917546 VIC917546 VRY917546 WBU917546 WLQ917546 WVM917546 E983082 JA983082 SW983082 ACS983082 AMO983082 AWK983082 BGG983082 BQC983082 BZY983082 CJU983082 CTQ983082 DDM983082 DNI983082 DXE983082 EHA983082 EQW983082 FAS983082 FKO983082 FUK983082 GEG983082 GOC983082 GXY983082 HHU983082 HRQ983082 IBM983082 ILI983082 IVE983082 JFA983082 JOW983082 JYS983082 KIO983082 KSK983082 LCG983082 LMC983082 LVY983082 MFU983082 MPQ983082 MZM983082 NJI983082 NTE983082 ODA983082 OMW983082 OWS983082 PGO983082 PQK983082 QAG983082 QKC983082 QTY983082 RDU983082 RNQ983082 RXM983082 SHI983082 SRE983082 TBA983082 TKW983082 TUS983082 UEO983082 UOK983082 UYG983082 VIC983082 VRY983082 WBU983082 WLQ983082 WVM983082"/>
  </dataValidations>
  <pageMargins left="0.7" right="0.7" top="0.75" bottom="0.75" header="0.3" footer="0.3"/>
  <pageSetup orientation="portrait" horizontalDpi="4294967293" verticalDpi="4294967293"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Total</vt:lpstr>
      <vt:lpstr>ED</vt:lpstr>
      <vt:lpstr>Prodi</vt:lpstr>
      <vt:lpstr>Simulasi Prodi</vt:lpstr>
      <vt:lpstr>Pengelola</vt:lpstr>
      <vt:lpstr>Simulasi Pengelola</vt:lpstr>
      <vt:lpstr>'Simulasi Prodi'!_Toc17095588</vt:lpstr>
      <vt:lpstr>ED!_Toc206868236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EDGE</dc:creator>
  <cp:lastModifiedBy>Wiediartini</cp:lastModifiedBy>
  <cp:lastPrinted>2016-03-17T07:01:47Z</cp:lastPrinted>
  <dcterms:created xsi:type="dcterms:W3CDTF">2016-03-17T06:55:33Z</dcterms:created>
  <dcterms:modified xsi:type="dcterms:W3CDTF">2017-08-02T06:53:09Z</dcterms:modified>
</cp:coreProperties>
</file>